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2260" windowHeight="12645" activeTab="6"/>
  </bookViews>
  <sheets>
    <sheet name="Структура нас.общ." sheetId="8" r:id="rId1"/>
    <sheet name="Структура БО" sheetId="9" r:id="rId2"/>
    <sheet name="Структура КП" sheetId="10" r:id="rId3"/>
    <sheet name="відділ освіти без ел" sheetId="12" r:id="rId4"/>
    <sheet name="відділ освіти з еленерг" sheetId="13" r:id="rId5"/>
    <sheet name="укрпочта без елен та води" sheetId="14" r:id="rId6"/>
    <sheet name="багат ліц з електр" sheetId="16" r:id="rId7"/>
  </sheets>
  <externalReferences>
    <externalReference r:id="rId8"/>
    <externalReference r:id="rId9"/>
  </externalReferences>
  <definedNames>
    <definedName name="_xlnm.Print_Area" localSheetId="6">'багат ліц з електр'!$A$1:$K$50</definedName>
    <definedName name="_xlnm.Print_Area" localSheetId="3">'відділ освіти без ел'!$A$1:$E$50</definedName>
    <definedName name="_xlnm.Print_Area" localSheetId="4">'відділ освіти з еленерг'!$A$1:$G$50</definedName>
    <definedName name="_xlnm.Print_Area" localSheetId="1">'Структура БО'!$A$1:$L$51</definedName>
    <definedName name="_xlnm.Print_Area" localSheetId="2">'Структура КП'!$A$1:$F$50</definedName>
    <definedName name="_xlnm.Print_Area" localSheetId="0">'Структура нас.общ.'!$A$1:$F$51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6"/>
  <c r="E43" s="1"/>
  <c r="F43" s="1"/>
  <c r="H8" i="9"/>
  <c r="D39" i="14"/>
  <c r="D38"/>
  <c r="D31"/>
  <c r="D30"/>
  <c r="D29"/>
  <c r="D21"/>
  <c r="D18"/>
  <c r="D17"/>
  <c r="E38" i="13"/>
  <c r="E37"/>
  <c r="E29"/>
  <c r="E28"/>
  <c r="E17"/>
  <c r="E16"/>
  <c r="C38" i="12"/>
  <c r="C37"/>
  <c r="C29"/>
  <c r="C28"/>
  <c r="C17"/>
  <c r="C16"/>
  <c r="D41" i="10"/>
  <c r="D42" s="1"/>
  <c r="C39"/>
  <c r="C38"/>
  <c r="C37"/>
  <c r="C31"/>
  <c r="C30"/>
  <c r="C29"/>
  <c r="C28"/>
  <c r="C23"/>
  <c r="C21"/>
  <c r="C20"/>
  <c r="C17"/>
  <c r="C16"/>
  <c r="C15"/>
  <c r="C11"/>
  <c r="C8"/>
  <c r="D40" i="9"/>
  <c r="D39"/>
  <c r="D38"/>
  <c r="D32"/>
  <c r="D31"/>
  <c r="D30"/>
  <c r="D29"/>
  <c r="D25"/>
  <c r="D24"/>
  <c r="D22"/>
  <c r="D21"/>
  <c r="D18"/>
  <c r="D17"/>
  <c r="D16"/>
  <c r="D12"/>
  <c r="D9"/>
  <c r="C40" i="8"/>
  <c r="C39"/>
  <c r="C38"/>
  <c r="C32"/>
  <c r="C31"/>
  <c r="C30"/>
  <c r="C29"/>
  <c r="C24"/>
  <c r="C22"/>
  <c r="C21"/>
  <c r="C18"/>
  <c r="C17"/>
  <c r="C12"/>
  <c r="C16"/>
  <c r="C9"/>
  <c r="E42" i="16"/>
  <c r="F42" s="1"/>
  <c r="E42" i="10" l="1"/>
  <c r="D43"/>
  <c r="E45" i="13"/>
  <c r="C45" i="12"/>
  <c r="C45" i="10"/>
  <c r="D46" i="9"/>
  <c r="C46" i="8"/>
  <c r="E9" i="10" l="1"/>
  <c r="E12"/>
  <c r="E14"/>
  <c r="E19"/>
  <c r="E25"/>
  <c r="E27"/>
  <c r="E34"/>
  <c r="E36"/>
  <c r="E43"/>
  <c r="E10"/>
  <c r="E13"/>
  <c r="E18"/>
  <c r="E24"/>
  <c r="E26"/>
  <c r="E33"/>
  <c r="E35"/>
  <c r="D44" i="13"/>
  <c r="B44" i="12"/>
  <c r="B44" i="10"/>
  <c r="C45" i="14" s="1"/>
  <c r="C31" i="9"/>
  <c r="D30" i="13" s="1"/>
  <c r="C21" i="9"/>
  <c r="D20" i="13" s="1"/>
  <c r="C44" i="16" l="1"/>
  <c r="B20" i="10"/>
  <c r="C21" i="14" s="1"/>
  <c r="B20" i="12"/>
  <c r="B30" i="10"/>
  <c r="B30" i="12"/>
  <c r="C31" i="14" l="1"/>
  <c r="C30" i="16"/>
  <c r="C20"/>
  <c r="C48" l="1"/>
  <c r="C49" i="14"/>
  <c r="D48" i="13"/>
  <c r="B48" i="12"/>
  <c r="B48" i="10"/>
  <c r="C49" i="9"/>
  <c r="D46" i="14"/>
  <c r="D45" i="16"/>
  <c r="E50"/>
  <c r="C47"/>
  <c r="E51" i="14"/>
  <c r="F50" i="13"/>
  <c r="D50" i="12"/>
  <c r="D48"/>
  <c r="D50" i="10"/>
  <c r="D48"/>
  <c r="E51" i="9"/>
  <c r="E24" i="14" l="1"/>
  <c r="G42" i="9"/>
  <c r="D23" i="12" l="1"/>
  <c r="C11" i="8" l="1"/>
  <c r="D11" i="9"/>
  <c r="C10" i="10"/>
  <c r="C9"/>
  <c r="C10" i="8"/>
  <c r="D9" i="14" l="1"/>
  <c r="D11"/>
  <c r="G9" i="9"/>
  <c r="D8" i="16" s="1"/>
  <c r="C8" i="12"/>
  <c r="E8" i="13"/>
  <c r="D10" i="14"/>
  <c r="G11" i="9"/>
  <c r="D10" i="16" s="1"/>
  <c r="E10" i="13"/>
  <c r="C10" i="12"/>
  <c r="D10" i="9"/>
  <c r="E9" i="13" l="1"/>
  <c r="C9" i="12"/>
  <c r="G10" i="9"/>
  <c r="D9" i="16" s="1"/>
  <c r="H8"/>
  <c r="C44" i="10" l="1"/>
  <c r="D45" i="9"/>
  <c r="C45" i="8"/>
  <c r="D44" i="16" l="1"/>
  <c r="C44" i="12"/>
  <c r="E44" i="13"/>
  <c r="E9" i="9"/>
  <c r="E11"/>
  <c r="E10"/>
  <c r="D11" i="8"/>
  <c r="D10"/>
  <c r="D9"/>
  <c r="D45" i="14"/>
  <c r="D8" i="10"/>
  <c r="E8" s="1"/>
  <c r="D10"/>
  <c r="D9"/>
  <c r="E16" i="14" l="1"/>
  <c r="E12"/>
  <c r="E9"/>
  <c r="E10"/>
  <c r="E11"/>
  <c r="H11" i="9"/>
  <c r="F15" i="13"/>
  <c r="F10"/>
  <c r="F8"/>
  <c r="F9"/>
  <c r="E8" i="16"/>
  <c r="F8" s="1"/>
  <c r="E10"/>
  <c r="F10" s="1"/>
  <c r="E9"/>
  <c r="F9" s="1"/>
  <c r="H10" i="9"/>
  <c r="H9"/>
  <c r="D15" i="12"/>
  <c r="D11"/>
  <c r="D10"/>
  <c r="D8"/>
  <c r="D9"/>
  <c r="C33" i="10" l="1"/>
  <c r="C34" i="8"/>
  <c r="C35"/>
  <c r="D35" s="1"/>
  <c r="D34" i="9"/>
  <c r="E33" i="13" l="1"/>
  <c r="C33" i="12"/>
  <c r="G34" i="9"/>
  <c r="D33" i="16" s="1"/>
  <c r="E34" i="9"/>
  <c r="D34" i="8"/>
  <c r="D34" i="14"/>
  <c r="D33" i="10"/>
  <c r="C37" i="8"/>
  <c r="D37" s="1"/>
  <c r="C36"/>
  <c r="D36" s="1"/>
  <c r="C35" i="10"/>
  <c r="D36" i="9"/>
  <c r="C36" i="10"/>
  <c r="C34"/>
  <c r="D37" i="9"/>
  <c r="D35"/>
  <c r="E34" i="13" l="1"/>
  <c r="F34" s="1"/>
  <c r="C34" i="12"/>
  <c r="D34" s="1"/>
  <c r="G35" i="9"/>
  <c r="D34" i="16" s="1"/>
  <c r="E34" s="1"/>
  <c r="F34" s="1"/>
  <c r="E35" i="9"/>
  <c r="D35" i="14"/>
  <c r="E35" s="1"/>
  <c r="D34" i="10"/>
  <c r="G36" i="9"/>
  <c r="D35" i="16" s="1"/>
  <c r="E35" s="1"/>
  <c r="F35" s="1"/>
  <c r="E35" i="13"/>
  <c r="F35" s="1"/>
  <c r="C35" i="12"/>
  <c r="D35" s="1"/>
  <c r="E36" i="9"/>
  <c r="E33" i="16"/>
  <c r="F33" s="1"/>
  <c r="F33" i="13"/>
  <c r="E36"/>
  <c r="F36" s="1"/>
  <c r="C36" i="12"/>
  <c r="D36" s="1"/>
  <c r="G37" i="9"/>
  <c r="D36" i="16" s="1"/>
  <c r="E36" s="1"/>
  <c r="F36" s="1"/>
  <c r="E37" i="9"/>
  <c r="D37" i="14"/>
  <c r="E37" s="1"/>
  <c r="D36" i="10"/>
  <c r="D36" i="14"/>
  <c r="E36" s="1"/>
  <c r="D35" i="10"/>
  <c r="E34" i="14"/>
  <c r="H34" i="9"/>
  <c r="D33" i="12"/>
  <c r="D39" i="8"/>
  <c r="D28" i="9"/>
  <c r="D26"/>
  <c r="D27"/>
  <c r="C28" i="8"/>
  <c r="D28" s="1"/>
  <c r="C27" i="10"/>
  <c r="C25" i="8"/>
  <c r="D25" s="1"/>
  <c r="C27"/>
  <c r="D27" s="1"/>
  <c r="C24" i="10"/>
  <c r="C25"/>
  <c r="C26"/>
  <c r="C26" i="8"/>
  <c r="D26" s="1"/>
  <c r="D26" i="14" l="1"/>
  <c r="E26" s="1"/>
  <c r="D25" i="10"/>
  <c r="D28" i="14"/>
  <c r="E28" s="1"/>
  <c r="D27" i="10"/>
  <c r="D23"/>
  <c r="E23" s="1"/>
  <c r="E26" i="9"/>
  <c r="E25" i="13"/>
  <c r="F25" s="1"/>
  <c r="C25" i="12"/>
  <c r="D25" s="1"/>
  <c r="G26" i="9"/>
  <c r="D25" i="16" s="1"/>
  <c r="E25" s="1"/>
  <c r="F25" s="1"/>
  <c r="E28" i="9"/>
  <c r="E27" i="13"/>
  <c r="F27" s="1"/>
  <c r="C27" i="12"/>
  <c r="D27" s="1"/>
  <c r="G28" i="9"/>
  <c r="D27" i="16" s="1"/>
  <c r="E27" s="1"/>
  <c r="F27" s="1"/>
  <c r="F38" i="13"/>
  <c r="D38" i="12"/>
  <c r="E23" i="13"/>
  <c r="E24" i="9"/>
  <c r="G24"/>
  <c r="D23" i="16" s="1"/>
  <c r="D27" i="14"/>
  <c r="E27" s="1"/>
  <c r="D26" i="10"/>
  <c r="D25" i="14"/>
  <c r="D24" i="10"/>
  <c r="D24" i="8"/>
  <c r="E27" i="9"/>
  <c r="E26" i="13"/>
  <c r="F26" s="1"/>
  <c r="C26" i="12"/>
  <c r="D26" s="1"/>
  <c r="G27" i="9"/>
  <c r="D26" i="16" s="1"/>
  <c r="E26" s="1"/>
  <c r="F26" s="1"/>
  <c r="E25" i="9"/>
  <c r="E24" i="13"/>
  <c r="F24" s="1"/>
  <c r="C24" i="12"/>
  <c r="G25" i="9"/>
  <c r="D24" i="16" s="1"/>
  <c r="E24" s="1"/>
  <c r="F24" s="1"/>
  <c r="E39" i="14"/>
  <c r="D38" i="10"/>
  <c r="E38" s="1"/>
  <c r="H37" i="9"/>
  <c r="H36"/>
  <c r="H35"/>
  <c r="D30" i="8"/>
  <c r="D29"/>
  <c r="E30" i="14" l="1"/>
  <c r="D29" i="10"/>
  <c r="E29" s="1"/>
  <c r="D24" i="12"/>
  <c r="H25" i="9"/>
  <c r="H27"/>
  <c r="E25" i="14"/>
  <c r="E23" i="16"/>
  <c r="F23" s="1"/>
  <c r="F23" i="13"/>
  <c r="G39" i="9"/>
  <c r="D38" i="16" s="1"/>
  <c r="E38" s="1"/>
  <c r="F38" s="1"/>
  <c r="E39" i="9"/>
  <c r="H28"/>
  <c r="H26"/>
  <c r="F29" i="13"/>
  <c r="D29" i="12"/>
  <c r="E29" i="14"/>
  <c r="D28" i="12"/>
  <c r="F28" i="13"/>
  <c r="H24" i="9"/>
  <c r="E29" l="1"/>
  <c r="G29"/>
  <c r="D28" i="16" s="1"/>
  <c r="E30" i="9"/>
  <c r="G30"/>
  <c r="D29" i="16" s="1"/>
  <c r="E29" s="1"/>
  <c r="F29" s="1"/>
  <c r="D28" i="10"/>
  <c r="E28" s="1"/>
  <c r="H39" i="9"/>
  <c r="H29" l="1"/>
  <c r="H30"/>
  <c r="E28" i="16"/>
  <c r="F28" s="1"/>
  <c r="D38" i="8" l="1"/>
  <c r="D37" i="10" l="1"/>
  <c r="E37" s="1"/>
  <c r="C32"/>
  <c r="D32" s="1"/>
  <c r="E32" s="1"/>
  <c r="G38" i="9"/>
  <c r="D37" i="16" s="1"/>
  <c r="E38" i="9"/>
  <c r="D33"/>
  <c r="G40"/>
  <c r="D39" i="16" s="1"/>
  <c r="E39" s="1"/>
  <c r="F39" s="1"/>
  <c r="E39" i="13"/>
  <c r="F39" s="1"/>
  <c r="C39" i="12"/>
  <c r="D39" s="1"/>
  <c r="E40" i="9"/>
  <c r="D40" i="14"/>
  <c r="E40" s="1"/>
  <c r="D39" i="10"/>
  <c r="E39" s="1"/>
  <c r="E38" i="14"/>
  <c r="D33"/>
  <c r="E33" s="1"/>
  <c r="F37" i="13"/>
  <c r="E32"/>
  <c r="F32" s="1"/>
  <c r="D37" i="12"/>
  <c r="C32" l="1"/>
  <c r="D32" s="1"/>
  <c r="D40" i="8"/>
  <c r="C33"/>
  <c r="D33" s="1"/>
  <c r="H40" i="9"/>
  <c r="G33"/>
  <c r="E33"/>
  <c r="E37" i="16"/>
  <c r="F37" s="1"/>
  <c r="D32"/>
  <c r="E32" s="1"/>
  <c r="F32" s="1"/>
  <c r="G16" i="12"/>
  <c r="H38" i="9"/>
  <c r="H32" i="16" l="1"/>
  <c r="H33" i="9"/>
  <c r="D14" l="1"/>
  <c r="C14" i="8"/>
  <c r="D14" s="1"/>
  <c r="C13" i="10"/>
  <c r="C18" l="1"/>
  <c r="C19"/>
  <c r="D13"/>
  <c r="D14" i="14"/>
  <c r="E14" s="1"/>
  <c r="H12" i="10"/>
  <c r="D11"/>
  <c r="E11" s="1"/>
  <c r="D16" i="8"/>
  <c r="D12"/>
  <c r="C18" i="12"/>
  <c r="D18" s="1"/>
  <c r="D19" i="9"/>
  <c r="D15"/>
  <c r="E14"/>
  <c r="E13" i="13"/>
  <c r="F13" s="1"/>
  <c r="C13" i="12"/>
  <c r="D13" s="1"/>
  <c r="G14" i="9"/>
  <c r="D13" i="16" s="1"/>
  <c r="E13" s="1"/>
  <c r="F13" s="1"/>
  <c r="I15" i="9"/>
  <c r="C14" i="10"/>
  <c r="D15"/>
  <c r="E15" s="1"/>
  <c r="C12"/>
  <c r="C13" i="8"/>
  <c r="D13" s="1"/>
  <c r="C20"/>
  <c r="D20" s="1"/>
  <c r="C15"/>
  <c r="D15" s="1"/>
  <c r="C19"/>
  <c r="D19" s="1"/>
  <c r="E12" i="9"/>
  <c r="E11" i="13"/>
  <c r="G12" i="9"/>
  <c r="D11" i="16" s="1"/>
  <c r="D20" i="9"/>
  <c r="D13"/>
  <c r="D17" i="8"/>
  <c r="D18"/>
  <c r="F16" i="13" l="1"/>
  <c r="D16" i="12"/>
  <c r="E17" i="14"/>
  <c r="D16" i="10"/>
  <c r="E16" s="1"/>
  <c r="D17"/>
  <c r="E17" s="1"/>
  <c r="E18" i="14"/>
  <c r="E11" i="16"/>
  <c r="F11" s="1"/>
  <c r="H12" i="9"/>
  <c r="H14"/>
  <c r="F17" i="13"/>
  <c r="D17" i="12"/>
  <c r="E16" i="9"/>
  <c r="G16"/>
  <c r="D15" i="16" s="1"/>
  <c r="E15" s="1"/>
  <c r="F15" s="1"/>
  <c r="E13" i="9"/>
  <c r="G13"/>
  <c r="D12" i="16" s="1"/>
  <c r="E12" s="1"/>
  <c r="F12" s="1"/>
  <c r="E12" i="13"/>
  <c r="F12" s="1"/>
  <c r="C12" i="12"/>
  <c r="E20" i="9"/>
  <c r="E19" i="13"/>
  <c r="F19" s="1"/>
  <c r="C19" i="12"/>
  <c r="D19" s="1"/>
  <c r="G20" i="9"/>
  <c r="D19" i="16" s="1"/>
  <c r="E19" s="1"/>
  <c r="F19" s="1"/>
  <c r="I16" i="9"/>
  <c r="F11" i="13"/>
  <c r="D12" i="10"/>
  <c r="D13" i="14"/>
  <c r="D14" i="10"/>
  <c r="D15" i="14"/>
  <c r="E15" s="1"/>
  <c r="E15" i="9"/>
  <c r="G15"/>
  <c r="D14" i="16" s="1"/>
  <c r="E14" s="1"/>
  <c r="F14" s="1"/>
  <c r="E14" i="13"/>
  <c r="F14" s="1"/>
  <c r="C14" i="12"/>
  <c r="D14" s="1"/>
  <c r="G19" i="9"/>
  <c r="D18" i="16" s="1"/>
  <c r="E18" s="1"/>
  <c r="F18" s="1"/>
  <c r="E18" i="13"/>
  <c r="F18" s="1"/>
  <c r="E19" i="9"/>
  <c r="D19" i="10"/>
  <c r="D20" i="14"/>
  <c r="E20" s="1"/>
  <c r="H13" i="10"/>
  <c r="D19" i="14"/>
  <c r="E19" s="1"/>
  <c r="D18" i="10"/>
  <c r="H13" i="9" l="1"/>
  <c r="H16"/>
  <c r="H15"/>
  <c r="E13" i="14"/>
  <c r="H20" i="9"/>
  <c r="D12" i="12"/>
  <c r="E18" i="9"/>
  <c r="G18"/>
  <c r="D17" i="16" s="1"/>
  <c r="E17" s="1"/>
  <c r="F17" s="1"/>
  <c r="E17" i="9"/>
  <c r="G17"/>
  <c r="D16" i="16" s="1"/>
  <c r="E16" s="1"/>
  <c r="F16" s="1"/>
  <c r="E21" i="9" l="1"/>
  <c r="C20" i="12"/>
  <c r="E20" i="13"/>
  <c r="G21" i="9"/>
  <c r="D20" i="16" s="1"/>
  <c r="E20" s="1"/>
  <c r="F20" s="1"/>
  <c r="H17" i="9"/>
  <c r="H18"/>
  <c r="G32"/>
  <c r="D31" i="16" s="1"/>
  <c r="E31" s="1"/>
  <c r="F31" s="1"/>
  <c r="C31" i="12"/>
  <c r="D31" s="1"/>
  <c r="E31" i="13"/>
  <c r="F31" s="1"/>
  <c r="E32" i="9"/>
  <c r="C30" i="12"/>
  <c r="E30" i="13"/>
  <c r="G31" i="9"/>
  <c r="D30" i="16" s="1"/>
  <c r="E31" i="9"/>
  <c r="D23"/>
  <c r="D20" i="10" l="1"/>
  <c r="E20" s="1"/>
  <c r="E23" i="9"/>
  <c r="G23"/>
  <c r="I14"/>
  <c r="E30" i="16"/>
  <c r="F30" s="1"/>
  <c r="D22"/>
  <c r="E22" s="1"/>
  <c r="F22" s="1"/>
  <c r="D30" i="12"/>
  <c r="C22"/>
  <c r="D22" s="1"/>
  <c r="F20" i="13"/>
  <c r="H21" i="9"/>
  <c r="D30" i="10"/>
  <c r="E30" s="1"/>
  <c r="C22"/>
  <c r="D32" i="14"/>
  <c r="E32" s="1"/>
  <c r="D31" i="10"/>
  <c r="E31" s="1"/>
  <c r="H31" i="9"/>
  <c r="F30" i="13"/>
  <c r="E22"/>
  <c r="F22" s="1"/>
  <c r="H32" i="9"/>
  <c r="G15" i="12"/>
  <c r="D20"/>
  <c r="E31" i="14"/>
  <c r="D8" i="9"/>
  <c r="G8" s="1"/>
  <c r="J8" s="1"/>
  <c r="D32" i="8"/>
  <c r="D23" i="14" l="1"/>
  <c r="E23" s="1"/>
  <c r="E8" i="9"/>
  <c r="D41"/>
  <c r="G41" s="1"/>
  <c r="I41" s="1"/>
  <c r="D21" i="8"/>
  <c r="E21" i="13"/>
  <c r="G22" i="9"/>
  <c r="D21" i="16" s="1"/>
  <c r="D7" s="1"/>
  <c r="E22" i="9"/>
  <c r="C21" i="12"/>
  <c r="H22" i="16"/>
  <c r="H23" i="9"/>
  <c r="E21" i="14"/>
  <c r="D31" i="8"/>
  <c r="C23"/>
  <c r="D23" s="1"/>
  <c r="D22" i="10"/>
  <c r="E22" s="1"/>
  <c r="H11"/>
  <c r="E47" i="9" l="1"/>
  <c r="E41"/>
  <c r="E42" s="1"/>
  <c r="D22" i="8"/>
  <c r="F21" i="13"/>
  <c r="E7"/>
  <c r="D21" i="12"/>
  <c r="C7"/>
  <c r="D40" i="16"/>
  <c r="J45" s="1"/>
  <c r="J46" s="1"/>
  <c r="J48" s="1"/>
  <c r="E7"/>
  <c r="C8" i="8"/>
  <c r="C41" s="1"/>
  <c r="D47" s="1"/>
  <c r="D21" i="10"/>
  <c r="E21" s="1"/>
  <c r="D22" i="14"/>
  <c r="C7" i="10"/>
  <c r="L42" i="9"/>
  <c r="L46" s="1"/>
  <c r="L47" s="1"/>
  <c r="H22"/>
  <c r="G14" i="12"/>
  <c r="G17" s="1"/>
  <c r="G19" s="1"/>
  <c r="E21" i="16"/>
  <c r="D8" i="8"/>
  <c r="H41" i="9" l="1"/>
  <c r="E43"/>
  <c r="F41" s="1"/>
  <c r="E46" i="16"/>
  <c r="J14"/>
  <c r="F21"/>
  <c r="E40"/>
  <c r="F40" s="1"/>
  <c r="F7"/>
  <c r="E22" i="14"/>
  <c r="D8"/>
  <c r="D7" i="12"/>
  <c r="C40"/>
  <c r="D46" s="1"/>
  <c r="E40" i="13"/>
  <c r="F46" s="1"/>
  <c r="F7"/>
  <c r="C40" i="10"/>
  <c r="D46" s="1"/>
  <c r="D7"/>
  <c r="E7" s="1"/>
  <c r="D41" i="8"/>
  <c r="H7" i="16"/>
  <c r="H40" s="1"/>
  <c r="J40" s="1"/>
  <c r="K40" s="1"/>
  <c r="H45"/>
  <c r="H46" l="1"/>
  <c r="H44" i="9"/>
  <c r="F10"/>
  <c r="F12"/>
  <c r="F14"/>
  <c r="F16"/>
  <c r="F18"/>
  <c r="F20"/>
  <c r="F22"/>
  <c r="F24"/>
  <c r="F26"/>
  <c r="F28"/>
  <c r="F30"/>
  <c r="F32"/>
  <c r="F34"/>
  <c r="F36"/>
  <c r="F38"/>
  <c r="F40"/>
  <c r="F35"/>
  <c r="F39"/>
  <c r="F44"/>
  <c r="F11"/>
  <c r="F13"/>
  <c r="F15"/>
  <c r="F17"/>
  <c r="F19"/>
  <c r="F21"/>
  <c r="F23"/>
  <c r="F25"/>
  <c r="F27"/>
  <c r="F29"/>
  <c r="F31"/>
  <c r="F33"/>
  <c r="F37"/>
  <c r="F9"/>
  <c r="F8"/>
  <c r="F43"/>
  <c r="H43"/>
  <c r="D40" i="12"/>
  <c r="D41" i="14"/>
  <c r="E47" s="1"/>
  <c r="E8"/>
  <c r="D42" i="8"/>
  <c r="D40" i="10"/>
  <c r="E40" s="1"/>
  <c r="D43" i="8" l="1"/>
  <c r="F41" i="13"/>
  <c r="E41" i="14"/>
  <c r="D41" i="12"/>
  <c r="H47" i="8"/>
  <c r="F42" i="13" l="1"/>
  <c r="D42" i="12"/>
  <c r="D44" i="8"/>
  <c r="E42" i="14"/>
  <c r="E43" l="1"/>
  <c r="F43" i="13"/>
  <c r="G42" s="1"/>
  <c r="D43" i="12"/>
  <c r="E42" s="1"/>
  <c r="E44" i="8"/>
  <c r="E9"/>
  <c r="E11"/>
  <c r="E10"/>
  <c r="E35"/>
  <c r="E36"/>
  <c r="E37"/>
  <c r="E34"/>
  <c r="E27"/>
  <c r="E25"/>
  <c r="E26"/>
  <c r="E39"/>
  <c r="E28"/>
  <c r="E24"/>
  <c r="E30"/>
  <c r="E29"/>
  <c r="E38"/>
  <c r="E40"/>
  <c r="E33"/>
  <c r="E14"/>
  <c r="E15"/>
  <c r="E12"/>
  <c r="E19"/>
  <c r="E16"/>
  <c r="E17"/>
  <c r="E13"/>
  <c r="E18"/>
  <c r="E20"/>
  <c r="E32"/>
  <c r="E31"/>
  <c r="E23"/>
  <c r="E21"/>
  <c r="E22"/>
  <c r="E8"/>
  <c r="E41"/>
  <c r="E42"/>
  <c r="E43"/>
  <c r="F43" i="14" l="1"/>
  <c r="G43" i="13"/>
  <c r="G15"/>
  <c r="G10"/>
  <c r="G8"/>
  <c r="G9"/>
  <c r="G34"/>
  <c r="G35"/>
  <c r="G36"/>
  <c r="G33"/>
  <c r="G25"/>
  <c r="G26"/>
  <c r="G27"/>
  <c r="G24"/>
  <c r="G38"/>
  <c r="G23"/>
  <c r="G29"/>
  <c r="G28"/>
  <c r="G39"/>
  <c r="G32"/>
  <c r="G37"/>
  <c r="G13"/>
  <c r="G12"/>
  <c r="G11"/>
  <c r="G17"/>
  <c r="G14"/>
  <c r="G18"/>
  <c r="G19"/>
  <c r="G16"/>
  <c r="G31"/>
  <c r="G20"/>
  <c r="G30"/>
  <c r="G22"/>
  <c r="G21"/>
  <c r="G7"/>
  <c r="G40"/>
  <c r="E43" i="12"/>
  <c r="E23"/>
  <c r="E11"/>
  <c r="E10"/>
  <c r="E8"/>
  <c r="E15"/>
  <c r="E9"/>
  <c r="E35"/>
  <c r="E34"/>
  <c r="E33"/>
  <c r="E36"/>
  <c r="E26"/>
  <c r="E25"/>
  <c r="E38"/>
  <c r="E27"/>
  <c r="E24"/>
  <c r="E28"/>
  <c r="E29"/>
  <c r="E39"/>
  <c r="E37"/>
  <c r="E32"/>
  <c r="E13"/>
  <c r="E18"/>
  <c r="E19"/>
  <c r="E16"/>
  <c r="E14"/>
  <c r="E17"/>
  <c r="E12"/>
  <c r="E31"/>
  <c r="E30"/>
  <c r="E20"/>
  <c r="E22"/>
  <c r="E21"/>
  <c r="E7"/>
  <c r="E40"/>
  <c r="F44" i="14" l="1"/>
  <c r="F24"/>
  <c r="F9"/>
  <c r="F10"/>
  <c r="F11"/>
  <c r="F16"/>
  <c r="F12"/>
  <c r="F37"/>
  <c r="F36"/>
  <c r="F34"/>
  <c r="F35"/>
  <c r="F28"/>
  <c r="F27"/>
  <c r="F39"/>
  <c r="F26"/>
  <c r="F29"/>
  <c r="F30"/>
  <c r="F25"/>
  <c r="F38"/>
  <c r="F33"/>
  <c r="F40"/>
  <c r="F14"/>
  <c r="F20"/>
  <c r="F15"/>
  <c r="F19"/>
  <c r="F17"/>
  <c r="F18"/>
  <c r="F13"/>
  <c r="F32"/>
  <c r="F31"/>
  <c r="F23"/>
  <c r="F21"/>
  <c r="F22"/>
  <c r="F8"/>
  <c r="F41"/>
</calcChain>
</file>

<file path=xl/sharedStrings.xml><?xml version="1.0" encoding="utf-8"?>
<sst xmlns="http://schemas.openxmlformats.org/spreadsheetml/2006/main" count="610" uniqueCount="88">
  <si>
    <t>№ п/п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</si>
  <si>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</si>
  <si>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</si>
  <si>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</si>
  <si>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</si>
  <si>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</si>
  <si>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</si>
  <si>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</si>
  <si>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</si>
  <si>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</si>
  <si>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грн/Гкал</t>
  </si>
  <si>
    <t>Для потреб населення</t>
  </si>
  <si>
    <t>Вартість теплової енергії за відповідним тарифом</t>
  </si>
  <si>
    <t>3.1</t>
  </si>
  <si>
    <t>3.2</t>
  </si>
  <si>
    <t>3.3</t>
  </si>
  <si>
    <t>2.1</t>
  </si>
  <si>
    <t>2.2</t>
  </si>
  <si>
    <t>Найменування показника</t>
  </si>
  <si>
    <t>Структура тарифу у %</t>
  </si>
  <si>
    <t>тис.грн</t>
  </si>
  <si>
    <t>Виробництво теплової енергії в т.ч.:</t>
  </si>
  <si>
    <t>витрати на електроенергію</t>
  </si>
  <si>
    <t>витрати на оплату праці</t>
  </si>
  <si>
    <t>відрахування на соціальні витрати</t>
  </si>
  <si>
    <t>амортизаційні відрахування</t>
  </si>
  <si>
    <t>інші витрати</t>
  </si>
  <si>
    <t>розрахунковий прибуток</t>
  </si>
  <si>
    <t>Транспортування теплової енергії в т.ч.:</t>
  </si>
  <si>
    <t>витрати на ремонт</t>
  </si>
  <si>
    <t>Постачання теплової енергії в т.ч.:</t>
  </si>
  <si>
    <t>Тариф на теплову енергію грн/Гкал.</t>
  </si>
  <si>
    <t>Обсяг реалізації теплової енергії, Гкал.</t>
  </si>
  <si>
    <t>2.3</t>
  </si>
  <si>
    <t>2.4</t>
  </si>
  <si>
    <t>2.5</t>
  </si>
  <si>
    <t>2.6</t>
  </si>
  <si>
    <t>3.4</t>
  </si>
  <si>
    <t>Провідний економіст</t>
  </si>
  <si>
    <t>Рівень рентабельності у %</t>
  </si>
  <si>
    <t>3.5</t>
  </si>
  <si>
    <t>Загальновиробничі витрати</t>
  </si>
  <si>
    <t>Адміністративні витрати</t>
  </si>
  <si>
    <t>1.10</t>
  </si>
  <si>
    <t>2.7</t>
  </si>
  <si>
    <t>2.8</t>
  </si>
  <si>
    <t>3.6</t>
  </si>
  <si>
    <t>3.7</t>
  </si>
  <si>
    <t>Для потреб інших споживачів</t>
  </si>
  <si>
    <t>Для потреб інших споживачів без електроенергії та без водопостачання</t>
  </si>
  <si>
    <t>Ірина МИРОНОВА</t>
  </si>
  <si>
    <t>Володимир ЦАРИК</t>
  </si>
  <si>
    <t>Відпуск з колекторів,Гкал</t>
  </si>
  <si>
    <t>2.9</t>
  </si>
  <si>
    <t>1.11</t>
  </si>
  <si>
    <t>витрати на покриття втрат</t>
  </si>
  <si>
    <t>враховані витрати на покриття втрат</t>
  </si>
  <si>
    <t>Додаток №6</t>
  </si>
  <si>
    <t>Додаток №5</t>
  </si>
  <si>
    <t>Додаток № 7</t>
  </si>
  <si>
    <t>Додаток № 8</t>
  </si>
  <si>
    <t>Додаток № 9</t>
  </si>
  <si>
    <t>Додаток №10</t>
  </si>
  <si>
    <t>Додаток №11</t>
  </si>
  <si>
    <t>1.12</t>
  </si>
  <si>
    <t>1.13</t>
  </si>
  <si>
    <t>1.14</t>
  </si>
  <si>
    <t>витрати на розподіл природного газу</t>
  </si>
  <si>
    <t>витрати на інше паливо(пелети,лушпиння)</t>
  </si>
  <si>
    <t>Для потреб бюджетних організацій</t>
  </si>
  <si>
    <t>Для потреб бюджетних організацій без точок обліку еленергії та без водопостачання</t>
  </si>
  <si>
    <t>Для потреб бюджетних організацій з точками обліку електроенергії та без водопостачання</t>
  </si>
  <si>
    <t>витрати на природний газ ("Нафтогаз Трейдинг")</t>
  </si>
  <si>
    <t>Тариф на теплову енергію грн/Гкал, з ПДВ</t>
  </si>
  <si>
    <t>витрати на водопостачання та водовідведення</t>
  </si>
  <si>
    <t>ПДВ</t>
  </si>
  <si>
    <t>Тариф на теплову енергію грн/Гкал.,без ПДВ</t>
  </si>
  <si>
    <t>х</t>
  </si>
  <si>
    <t>x</t>
  </si>
  <si>
    <t>витрати на матеріали</t>
  </si>
  <si>
    <r>
      <t xml:space="preserve">Структура  тарифу на теплову енергію  </t>
    </r>
    <r>
      <rPr>
        <b/>
        <u/>
        <sz val="14"/>
        <color theme="1"/>
        <rFont val="Times New Roman"/>
        <family val="1"/>
        <charset val="204"/>
      </rPr>
      <t xml:space="preserve">для потреб населення </t>
    </r>
    <r>
      <rPr>
        <b/>
        <sz val="14"/>
        <color theme="1"/>
        <rFont val="Times New Roman"/>
        <family val="1"/>
        <charset val="204"/>
      </rPr>
      <t xml:space="preserve"> Комунального підприємства теплових мереж м.Берестин</t>
    </r>
  </si>
  <si>
    <r>
      <t xml:space="preserve">Структура тарифу на теплову енергію  </t>
    </r>
    <r>
      <rPr>
        <b/>
        <u/>
        <sz val="14"/>
        <color theme="1"/>
        <rFont val="Times New Roman"/>
        <family val="1"/>
        <charset val="204"/>
      </rPr>
      <t xml:space="preserve">для потреб бюджетних організацій </t>
    </r>
    <r>
      <rPr>
        <b/>
        <sz val="14"/>
        <color theme="1"/>
        <rFont val="Times New Roman"/>
        <family val="1"/>
        <charset val="204"/>
      </rPr>
      <t xml:space="preserve">  Комунального підприємства теплових мереж м.Берестин</t>
    </r>
  </si>
  <si>
    <r>
      <t>Структура  тарифу на теплову енергію для потреб</t>
    </r>
    <r>
      <rPr>
        <b/>
        <u/>
        <sz val="14"/>
        <color theme="1"/>
        <rFont val="Times New Roman"/>
        <family val="1"/>
        <charset val="204"/>
      </rPr>
      <t xml:space="preserve"> інших споживачів (крім релігійних)</t>
    </r>
    <r>
      <rPr>
        <b/>
        <sz val="14"/>
        <color theme="1"/>
        <rFont val="Times New Roman"/>
        <family val="1"/>
        <charset val="204"/>
      </rPr>
      <t xml:space="preserve"> Комунального підприємства теплових мереж м.Берестин</t>
    </r>
  </si>
  <si>
    <r>
      <t xml:space="preserve">Структура тарифу на теплову енергію </t>
    </r>
    <r>
      <rPr>
        <b/>
        <i/>
        <u/>
        <sz val="14"/>
        <color theme="1"/>
        <rFont val="Times New Roman"/>
        <family val="1"/>
        <charset val="204"/>
      </rPr>
      <t>без точок обліку електроенергії та без водопостачання</t>
    </r>
    <r>
      <rPr>
        <b/>
        <sz val="14"/>
        <color theme="1"/>
        <rFont val="Times New Roman"/>
        <family val="1"/>
        <charset val="204"/>
      </rPr>
      <t xml:space="preserve">  </t>
    </r>
    <r>
      <rPr>
        <b/>
        <u/>
        <sz val="14"/>
        <color theme="1"/>
        <rFont val="Times New Roman"/>
        <family val="1"/>
        <charset val="204"/>
      </rPr>
      <t xml:space="preserve">для потреб бюджетних організацій </t>
    </r>
    <r>
      <rPr>
        <b/>
        <sz val="14"/>
        <color theme="1"/>
        <rFont val="Times New Roman"/>
        <family val="1"/>
        <charset val="204"/>
      </rPr>
      <t xml:space="preserve">  Комунального підприємства теплових мереж м.Берестин</t>
    </r>
  </si>
  <si>
    <r>
      <t>Структура тарифу на теплову енергію</t>
    </r>
    <r>
      <rPr>
        <b/>
        <i/>
        <u/>
        <sz val="14"/>
        <color theme="1"/>
        <rFont val="Times New Roman"/>
        <family val="1"/>
        <charset val="204"/>
      </rPr>
      <t xml:space="preserve"> з точками обліку електроенергії та без водопостачання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u/>
        <sz val="14"/>
        <color theme="1"/>
        <rFont val="Times New Roman"/>
        <family val="1"/>
        <charset val="204"/>
      </rPr>
      <t xml:space="preserve">для потреб бюджетних організацій </t>
    </r>
    <r>
      <rPr>
        <b/>
        <sz val="14"/>
        <color theme="1"/>
        <rFont val="Times New Roman"/>
        <family val="1"/>
        <charset val="204"/>
      </rPr>
      <t xml:space="preserve"> Комунального підприємства теплових мереж м.Берестин</t>
    </r>
  </si>
  <si>
    <r>
      <t>Структура  тарифу на теплову енергію</t>
    </r>
    <r>
      <rPr>
        <b/>
        <i/>
        <u/>
        <sz val="14"/>
        <color theme="1"/>
        <rFont val="Times New Roman"/>
        <family val="1"/>
        <charset val="204"/>
      </rPr>
      <t xml:space="preserve"> без електроенергії та без водопостачання </t>
    </r>
    <r>
      <rPr>
        <b/>
        <sz val="14"/>
        <color theme="1"/>
        <rFont val="Times New Roman"/>
        <family val="1"/>
        <charset val="204"/>
      </rPr>
      <t>для потреб</t>
    </r>
    <r>
      <rPr>
        <b/>
        <u/>
        <sz val="14"/>
        <color theme="1"/>
        <rFont val="Times New Roman"/>
        <family val="1"/>
        <charset val="204"/>
      </rPr>
      <t xml:space="preserve"> інших споживачів (крім релігійних)</t>
    </r>
    <r>
      <rPr>
        <b/>
        <sz val="14"/>
        <color theme="1"/>
        <rFont val="Times New Roman"/>
        <family val="1"/>
        <charset val="204"/>
      </rPr>
      <t xml:space="preserve"> Комунального підприємства теплових мереж м.Берестин</t>
    </r>
  </si>
  <si>
    <r>
      <t xml:space="preserve">Структура планового тарифу на теплову енергію на альтернативному виді палива </t>
    </r>
    <r>
      <rPr>
        <b/>
        <u/>
        <sz val="14"/>
        <color theme="1"/>
        <rFont val="Times New Roman"/>
        <family val="1"/>
        <charset val="204"/>
      </rPr>
      <t>для потреб бюджетних організацій Комунального підприємства теплових мереж м.Берестин</t>
    </r>
  </si>
  <si>
    <t>Директор КПТМ м. Берестин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</si>
</sst>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15">
    <font>
      <sz val="11"/>
      <color theme="1"/>
      <name val="Calibri"/>
      <family val="2"/>
      <scheme val="minor"/>
    </font>
    <font>
      <b/>
      <sz val="10.5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sz val="11"/>
      <color theme="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0" fillId="0" borderId="0" xfId="0" applyNumberFormat="1"/>
    <xf numFmtId="0" fontId="3" fillId="0" borderId="0" xfId="0" applyFont="1"/>
    <xf numFmtId="0" fontId="6" fillId="0" borderId="0" xfId="0" applyFont="1"/>
    <xf numFmtId="0" fontId="7" fillId="0" borderId="0" xfId="0" applyFont="1" applyFill="1" applyBorder="1" applyAlignment="1">
      <alignment vertical="center" wrapText="1"/>
    </xf>
    <xf numFmtId="0" fontId="7" fillId="0" borderId="0" xfId="0" applyFont="1"/>
    <xf numFmtId="2" fontId="6" fillId="0" borderId="0" xfId="0" applyNumberFormat="1" applyFont="1"/>
    <xf numFmtId="0" fontId="0" fillId="0" borderId="0" xfId="0" applyFont="1"/>
    <xf numFmtId="0" fontId="4" fillId="0" borderId="0" xfId="0" applyFont="1"/>
    <xf numFmtId="0" fontId="7" fillId="0" borderId="0" xfId="0" applyFont="1" applyAlignment="1"/>
    <xf numFmtId="0" fontId="8" fillId="0" borderId="0" xfId="0" applyFont="1"/>
    <xf numFmtId="164" fontId="6" fillId="0" borderId="0" xfId="0" applyNumberFormat="1" applyFont="1"/>
    <xf numFmtId="0" fontId="0" fillId="0" borderId="0" xfId="0"/>
    <xf numFmtId="0" fontId="0" fillId="0" borderId="0" xfId="0"/>
    <xf numFmtId="2" fontId="5" fillId="0" borderId="0" xfId="0" applyNumberFormat="1" applyFont="1"/>
    <xf numFmtId="0" fontId="3" fillId="0" borderId="0" xfId="0" applyFont="1" applyAlignment="1"/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8" fillId="0" borderId="1" xfId="0" applyNumberFormat="1" applyFont="1" applyBorder="1"/>
    <xf numFmtId="2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/>
    <xf numFmtId="165" fontId="5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Border="1"/>
    <xf numFmtId="2" fontId="9" fillId="0" borderId="0" xfId="0" applyNumberFormat="1" applyFont="1" applyBorder="1" applyAlignment="1">
      <alignment horizontal="center"/>
    </xf>
    <xf numFmtId="0" fontId="3" fillId="0" borderId="0" xfId="0" applyFont="1" applyBorder="1"/>
    <xf numFmtId="2" fontId="5" fillId="0" borderId="0" xfId="0" applyNumberFormat="1" applyFont="1" applyBorder="1"/>
    <xf numFmtId="0" fontId="3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6" fillId="2" borderId="0" xfId="0" applyFont="1" applyFill="1"/>
    <xf numFmtId="0" fontId="2" fillId="2" borderId="1" xfId="0" applyFont="1" applyFill="1" applyBorder="1" applyAlignment="1">
      <alignment horizontal="left"/>
    </xf>
    <xf numFmtId="2" fontId="3" fillId="0" borderId="0" xfId="0" applyNumberFormat="1" applyFont="1"/>
    <xf numFmtId="2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2" fontId="6" fillId="2" borderId="0" xfId="0" applyNumberFormat="1" applyFont="1" applyFill="1"/>
    <xf numFmtId="164" fontId="6" fillId="2" borderId="0" xfId="0" applyNumberFormat="1" applyFont="1" applyFill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8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0;&#1088;&#1086;&#1085;&#1086;&#1074;&#1072;/2025/&#1050;&#1086;&#1088;&#1080;&#1075;&#1091;&#1074;&#1072;&#1085;&#1085;&#1103;%20&#1090;&#1072;&#1088;&#1080;&#1092;&#1091;%20%202025%20&#1076;&#1083;&#1103;%20&#1073;&#1086;%20&#1090;&#1072;%20&#1110;&#1085;&#1096;/&#1082;&#1086;&#1088;&#1080;&#1075;&#1091;&#1074;&#1072;&#1085;&#1085;&#1103;%20&#1053;&#1040;&#1064;&#1030;%20&#1052;&#1045;&#1056;&#1045;&#1046;&#1030;%20%20%20&#1088;&#1086;&#1079;&#1088;&#1072;&#1093;&#1091;&#1085;&#1086;&#1082;%20&#1090;&#1077;&#1087;&#1083;&#1086;&#1074;&#1086;&#1098;%20&#1077;&#1085;&#1077;&#1088;&#1075;%20&#1074;&#1080;&#1088;%20&#1090;&#1088;&#1072;&#1085;&#1089;&#1087;%20&#1087;&#1086;&#1089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0;&#1088;&#1086;&#1085;&#1086;&#1074;&#1072;/2025/&#1050;&#1086;&#1088;&#1080;&#1075;&#1091;&#1074;&#1072;&#1085;&#1085;&#1103;%20&#1090;&#1072;&#1088;&#1080;&#1092;&#1091;%20%202025%20&#1076;&#1083;&#1103;%20&#1073;&#1086;%20&#1090;&#1072;%20&#1110;&#1085;&#1096;/&#1053;&#1040;&#1064;&#1030;%20&#1052;&#1045;&#1056;&#1045;&#1046;&#1030;%20%20%20&#1050;&#1088;&#1072;&#1089;&#1085;&#1086;&#1075;&#1088;&#1072;&#1076;&#1089;&#1100;&#1082;&#1072;%20&#1075;&#1088;&#1086;&#1084;&#1072;&#1076;&#1072;%20%20&#1088;&#1086;&#1079;&#1088;&#1072;&#1093;&#1091;&#1085;&#1086;&#1082;%20&#1090;&#1077;&#1087;&#1083;&#1086;&#1074;&#1086;&#1098;%20&#1077;&#1085;&#1077;&#1088;&#1075;%20&#1074;&#1080;&#1088;%20&#1090;&#1088;&#1072;&#1085;&#1089;&#1087;%20&#1087;&#1086;&#1089;&#109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труктури 2024-2025"/>
      <sheetName val="Паливо"/>
      <sheetName val="Електроенергія"/>
      <sheetName val="Вода та стоки"/>
      <sheetName val="Оплата праці"/>
      <sheetName val="Амортизація"/>
      <sheetName val="Загальновиробничі"/>
      <sheetName val="Адміністративні витрати"/>
      <sheetName val="Корисний відпуск"/>
      <sheetName val="Ремонт"/>
      <sheetName val="Ел. ремонт"/>
      <sheetName val="Площа"/>
      <sheetName val="Лист1"/>
    </sheetNames>
    <sheetDataSet>
      <sheetData sheetId="0">
        <row r="18">
          <cell r="P18">
            <v>15976.504587041998</v>
          </cell>
          <cell r="Q18">
            <v>22623.182276485</v>
          </cell>
          <cell r="R18">
            <v>4384.577796865</v>
          </cell>
        </row>
        <row r="21">
          <cell r="P21">
            <v>1834.9484543277638</v>
          </cell>
          <cell r="Q21">
            <v>1296.2078061517</v>
          </cell>
          <cell r="R21">
            <v>233.86971952053642</v>
          </cell>
          <cell r="X21">
            <v>2248.8691121667471</v>
          </cell>
          <cell r="Y21">
            <v>1588.6533905577037</v>
          </cell>
          <cell r="Z21">
            <v>286.69357727554927</v>
          </cell>
        </row>
        <row r="22">
          <cell r="P22">
            <v>298.53373142290781</v>
          </cell>
          <cell r="Q22">
            <v>210.88426334664106</v>
          </cell>
          <cell r="R22">
            <v>38.049025230451242</v>
          </cell>
        </row>
        <row r="31">
          <cell r="P31">
            <v>2354.8959378726017</v>
          </cell>
          <cell r="Q31">
            <v>1663.4987703039642</v>
          </cell>
          <cell r="R31">
            <v>300.13859582343417</v>
          </cell>
          <cell r="X31">
            <v>535.72328466935664</v>
          </cell>
          <cell r="Y31">
            <v>378.44737516568205</v>
          </cell>
          <cell r="Z31">
            <v>68.295848824961382</v>
          </cell>
          <cell r="AG31">
            <v>52.983621560705608</v>
          </cell>
          <cell r="AH31">
            <v>37.428861280122405</v>
          </cell>
          <cell r="AI31">
            <v>6.7545344991720064</v>
          </cell>
        </row>
        <row r="34">
          <cell r="Q34">
            <v>131.62753132025469</v>
          </cell>
          <cell r="R34">
            <v>23.749042155857733</v>
          </cell>
          <cell r="Y34">
            <v>29.945368995147007</v>
          </cell>
          <cell r="Z34">
            <v>5.404039050356455</v>
          </cell>
          <cell r="AH34">
            <v>2.9616299006189357</v>
          </cell>
          <cell r="AI34">
            <v>0.53446540058470449</v>
          </cell>
        </row>
        <row r="37">
          <cell r="P37">
            <v>3128.8947844353684</v>
          </cell>
          <cell r="Q37">
            <v>2210.2516474765366</v>
          </cell>
          <cell r="R37">
            <v>398.78708522809592</v>
          </cell>
          <cell r="X37">
            <v>698.32395958160123</v>
          </cell>
          <cell r="Y37">
            <v>493.31226975148792</v>
          </cell>
          <cell r="Z37">
            <v>89.024742696910977</v>
          </cell>
          <cell r="AG37">
            <v>74.123772246091747</v>
          </cell>
          <cell r="AH37">
            <v>52.362754889822746</v>
          </cell>
          <cell r="AI37">
            <v>9.4495536940855231</v>
          </cell>
        </row>
        <row r="40">
          <cell r="Q40">
            <v>6.564856480770854</v>
          </cell>
          <cell r="R40">
            <v>1.1844714532376233</v>
          </cell>
          <cell r="Y40">
            <v>1.4652287466086888</v>
          </cell>
          <cell r="Z40">
            <v>0.26441996308883109</v>
          </cell>
          <cell r="AH40">
            <v>0.15552707366237478</v>
          </cell>
          <cell r="AI40">
            <v>2.8066923456356373E-2</v>
          </cell>
        </row>
        <row r="41">
          <cell r="Q41">
            <v>32.703969478262877</v>
          </cell>
          <cell r="R41">
            <v>5.9006496742192853</v>
          </cell>
          <cell r="Y41">
            <v>7.2992907534419151</v>
          </cell>
          <cell r="Z41">
            <v>1.3172538390793758</v>
          </cell>
          <cell r="AH41">
            <v>0.77478505204132053</v>
          </cell>
          <cell r="AI41">
            <v>0.1398202399022801</v>
          </cell>
        </row>
        <row r="46">
          <cell r="X46">
            <v>3811.3670726721234</v>
          </cell>
          <cell r="Y46">
            <v>3721.8284563343304</v>
          </cell>
          <cell r="Z46">
            <v>661.36373969896954</v>
          </cell>
        </row>
        <row r="49">
          <cell r="P49">
            <v>-3811.3670726721234</v>
          </cell>
          <cell r="Q49">
            <v>-3721.8284563343304</v>
          </cell>
          <cell r="R49">
            <v>-661.36373969896954</v>
          </cell>
        </row>
        <row r="51">
          <cell r="P51">
            <v>1434.4162323087514</v>
          </cell>
          <cell r="Q51">
            <v>1401.2064755796207</v>
          </cell>
          <cell r="R51">
            <v>249.53992136370405</v>
          </cell>
          <cell r="X51">
            <v>578.27558938678294</v>
          </cell>
          <cell r="Y51">
            <v>448.65352981494516</v>
          </cell>
          <cell r="Z51">
            <v>80.564187304693519</v>
          </cell>
          <cell r="AG51">
            <v>41.626691398929751</v>
          </cell>
          <cell r="AH51">
            <v>29.406061949462881</v>
          </cell>
          <cell r="AI51">
            <v>5.3067139402373682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Структури 2024-2025"/>
      <sheetName val="Паливо"/>
      <sheetName val="Електроенергія"/>
      <sheetName val="Вода та стоки"/>
      <sheetName val="Оплата праці"/>
      <sheetName val="Амортизація"/>
      <sheetName val="Загальновиробничі"/>
      <sheetName val="Адміністративні витрати"/>
      <sheetName val="Корисний відпуск"/>
      <sheetName val="Ремонт"/>
      <sheetName val="Ел. ремонт"/>
      <sheetName val="Площа"/>
      <sheetName val="Лист1"/>
    </sheetNames>
    <sheetDataSet>
      <sheetData sheetId="0">
        <row r="18">
          <cell r="P18">
            <v>14990.728553315999</v>
          </cell>
        </row>
        <row r="19">
          <cell r="P19">
            <v>5632.2628117999993</v>
          </cell>
          <cell r="Q19">
            <v>2447.6839606000003</v>
          </cell>
          <cell r="R19">
            <v>345.4984867</v>
          </cell>
        </row>
        <row r="20">
          <cell r="P20">
            <v>835.36916462999989</v>
          </cell>
          <cell r="Q20">
            <v>1760.1958436699999</v>
          </cell>
          <cell r="R20">
            <v>16.839983159999999</v>
          </cell>
        </row>
        <row r="23">
          <cell r="P23">
            <v>78.716227081263142</v>
          </cell>
          <cell r="Q23">
            <v>55.605152162665476</v>
          </cell>
          <cell r="R23">
            <v>10.032620756071404</v>
          </cell>
        </row>
        <row r="24">
          <cell r="P24">
            <v>2395.6035029857089</v>
          </cell>
          <cell r="Q24">
            <v>1692.2545991364252</v>
          </cell>
          <cell r="R24">
            <v>305.3268978778666</v>
          </cell>
          <cell r="X24">
            <v>3339.7026563882205</v>
          </cell>
          <cell r="Y24">
            <v>2359.2435503788979</v>
          </cell>
          <cell r="Z24">
            <v>425.75679323288239</v>
          </cell>
        </row>
        <row r="25">
          <cell r="P25">
            <v>6228.67271475084</v>
          </cell>
          <cell r="Q25">
            <v>4399.9351457433368</v>
          </cell>
          <cell r="R25">
            <v>793.86313950582371</v>
          </cell>
          <cell r="X25">
            <v>3333.2950239013526</v>
          </cell>
          <cell r="Y25">
            <v>2354.7170499166709</v>
          </cell>
          <cell r="Z25">
            <v>424.93992618197728</v>
          </cell>
          <cell r="AG25">
            <v>755.29306782085757</v>
          </cell>
          <cell r="AH25">
            <v>533.55657141924678</v>
          </cell>
          <cell r="AI25">
            <v>96.287360759895606</v>
          </cell>
        </row>
        <row r="27">
          <cell r="P27">
            <v>1370.3079972451847</v>
          </cell>
          <cell r="Q27">
            <v>967.98573206353399</v>
          </cell>
          <cell r="R27">
            <v>174.6498906912812</v>
          </cell>
          <cell r="X27">
            <v>733.32490525829746</v>
          </cell>
          <cell r="Y27">
            <v>518.0377509816675</v>
          </cell>
          <cell r="Z27">
            <v>93.486783760034996</v>
          </cell>
          <cell r="AG27">
            <v>166.16447492058867</v>
          </cell>
          <cell r="AH27">
            <v>117.38244571223429</v>
          </cell>
          <cell r="AI27">
            <v>21.183219367177035</v>
          </cell>
        </row>
        <row r="28">
          <cell r="P28">
            <v>456.56055161058077</v>
          </cell>
          <cell r="Q28">
            <v>322.51442790275365</v>
          </cell>
          <cell r="R28">
            <v>58.190020486665581</v>
          </cell>
          <cell r="X28">
            <v>126.97320040801846</v>
          </cell>
          <cell r="Y28">
            <v>89.696818835228257</v>
          </cell>
          <cell r="Z28">
            <v>16.186980756753314</v>
          </cell>
          <cell r="AG28">
            <v>0</v>
          </cell>
          <cell r="AH28">
            <v>0</v>
          </cell>
          <cell r="AI28">
            <v>0</v>
          </cell>
        </row>
        <row r="30">
          <cell r="AG30">
            <v>18.786124962775659</v>
          </cell>
          <cell r="AH30">
            <v>13.270955146339958</v>
          </cell>
          <cell r="AI30">
            <v>2.3949198908843847</v>
          </cell>
        </row>
        <row r="56">
          <cell r="AG56">
            <v>18051.992999999999</v>
          </cell>
          <cell r="AH56">
            <v>12751.93</v>
          </cell>
          <cell r="AI56">
            <v>2300.7809999999999</v>
          </cell>
        </row>
        <row r="58">
          <cell r="AG58">
            <v>16356.978999999999</v>
          </cell>
          <cell r="AH58">
            <v>11554.95</v>
          </cell>
          <cell r="AI58">
            <v>2085.2440000000001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view="pageBreakPreview" topLeftCell="A22" zoomScale="60" zoomScaleNormal="100" workbookViewId="0">
      <selection activeCell="K49" sqref="K49"/>
    </sheetView>
  </sheetViews>
  <sheetFormatPr defaultRowHeight="15"/>
  <cols>
    <col min="1" max="1" width="5.140625" customWidth="1"/>
    <col min="2" max="2" width="43.5703125" customWidth="1"/>
    <col min="3" max="3" width="13.5703125" customWidth="1"/>
    <col min="4" max="4" width="12" customWidth="1"/>
    <col min="5" max="5" width="14.5703125" customWidth="1"/>
  </cols>
  <sheetData>
    <row r="1" spans="1:8">
      <c r="A1" s="17"/>
      <c r="B1" s="17"/>
      <c r="C1" s="17"/>
      <c r="D1" s="17"/>
      <c r="E1" s="17" t="s">
        <v>58</v>
      </c>
    </row>
    <row r="2" spans="1:8" ht="24.75" customHeight="1">
      <c r="A2" s="45" t="s">
        <v>80</v>
      </c>
      <c r="B2" s="46"/>
      <c r="C2" s="46"/>
      <c r="D2" s="46"/>
      <c r="E2" s="46"/>
    </row>
    <row r="3" spans="1:8" ht="13.5" customHeight="1">
      <c r="A3" s="47"/>
      <c r="B3" s="47"/>
      <c r="C3" s="47"/>
      <c r="D3" s="47"/>
      <c r="E3" s="47"/>
    </row>
    <row r="4" spans="1:8">
      <c r="A4" s="50"/>
      <c r="B4" s="50"/>
      <c r="C4" s="50"/>
      <c r="D4" s="50"/>
      <c r="E4" s="17"/>
    </row>
    <row r="5" spans="1:8">
      <c r="A5" s="49" t="s">
        <v>0</v>
      </c>
      <c r="B5" s="49" t="s">
        <v>18</v>
      </c>
      <c r="C5" s="49" t="s">
        <v>11</v>
      </c>
      <c r="D5" s="49"/>
      <c r="E5" s="49" t="s">
        <v>19</v>
      </c>
    </row>
    <row r="6" spans="1:8">
      <c r="A6" s="49"/>
      <c r="B6" s="49"/>
      <c r="C6" s="24" t="s">
        <v>20</v>
      </c>
      <c r="D6" s="24" t="s">
        <v>10</v>
      </c>
      <c r="E6" s="49"/>
    </row>
    <row r="7" spans="1:8">
      <c r="A7" s="25">
        <v>1</v>
      </c>
      <c r="B7" s="25">
        <v>2</v>
      </c>
      <c r="C7" s="25">
        <v>3</v>
      </c>
      <c r="D7" s="25">
        <v>4</v>
      </c>
      <c r="E7" s="25">
        <v>5</v>
      </c>
    </row>
    <row r="8" spans="1:8">
      <c r="A8" s="26">
        <v>1</v>
      </c>
      <c r="B8" s="1" t="s">
        <v>21</v>
      </c>
      <c r="C8" s="6">
        <f>SUM(C9:C22)</f>
        <v>38214.319624840842</v>
      </c>
      <c r="D8" s="6">
        <f t="shared" ref="D8:D22" si="0">C8/C$45*1000</f>
        <v>2116.9030823821417</v>
      </c>
      <c r="E8" s="6">
        <f t="shared" ref="E8:E44" si="1">D8/D$44*100</f>
        <v>56.422697937806745</v>
      </c>
    </row>
    <row r="9" spans="1:8">
      <c r="A9" s="27" t="s">
        <v>1</v>
      </c>
      <c r="B9" s="39" t="s">
        <v>72</v>
      </c>
      <c r="C9" s="28">
        <f>'[1]Структури 2024-2025'!$P$18</f>
        <v>15976.504587041998</v>
      </c>
      <c r="D9" s="6">
        <f t="shared" si="0"/>
        <v>885.0271871389491</v>
      </c>
      <c r="E9" s="6">
        <f t="shared" si="1"/>
        <v>23.588997560764735</v>
      </c>
      <c r="F9" s="8"/>
    </row>
    <row r="10" spans="1:8" s="20" customFormat="1">
      <c r="A10" s="27" t="s">
        <v>2</v>
      </c>
      <c r="B10" s="39" t="s">
        <v>67</v>
      </c>
      <c r="C10" s="28">
        <f>'[2]Структури 2024-2025'!$P$19</f>
        <v>5632.2628117999993</v>
      </c>
      <c r="D10" s="6">
        <f t="shared" si="0"/>
        <v>312.00227098470515</v>
      </c>
      <c r="E10" s="6">
        <f t="shared" si="1"/>
        <v>8.3159262406430194</v>
      </c>
      <c r="F10" s="8"/>
    </row>
    <row r="11" spans="1:8" s="20" customFormat="1">
      <c r="A11" s="27" t="s">
        <v>3</v>
      </c>
      <c r="B11" s="39" t="s">
        <v>68</v>
      </c>
      <c r="C11" s="28">
        <f>'[2]Структури 2024-2025'!$P$20</f>
        <v>835.36916462999989</v>
      </c>
      <c r="D11" s="6">
        <f t="shared" si="0"/>
        <v>46.275730587198872</v>
      </c>
      <c r="E11" s="6">
        <f t="shared" si="1"/>
        <v>1.2334062860519328</v>
      </c>
      <c r="F11" s="8"/>
    </row>
    <row r="12" spans="1:8">
      <c r="A12" s="27" t="s">
        <v>4</v>
      </c>
      <c r="B12" s="2" t="s">
        <v>22</v>
      </c>
      <c r="C12" s="28">
        <f>'[1]Структури 2024-2025'!$P$21</f>
        <v>1834.9484543277638</v>
      </c>
      <c r="D12" s="6">
        <f t="shared" si="0"/>
        <v>101.64797063281399</v>
      </c>
      <c r="E12" s="6">
        <f t="shared" si="1"/>
        <v>2.7092656204895595</v>
      </c>
    </row>
    <row r="13" spans="1:8">
      <c r="A13" s="27" t="s">
        <v>5</v>
      </c>
      <c r="B13" s="2" t="s">
        <v>23</v>
      </c>
      <c r="C13" s="28">
        <f>'[2]Структури 2024-2025'!$P$25</f>
        <v>6228.67271475084</v>
      </c>
      <c r="D13" s="6">
        <f t="shared" si="0"/>
        <v>345.0407229135775</v>
      </c>
      <c r="E13" s="6">
        <f t="shared" si="1"/>
        <v>9.196513835337166</v>
      </c>
    </row>
    <row r="14" spans="1:8">
      <c r="A14" s="27" t="s">
        <v>6</v>
      </c>
      <c r="B14" s="2" t="s">
        <v>24</v>
      </c>
      <c r="C14" s="28">
        <f>'[2]Структури 2024-2025'!$P$27</f>
        <v>1370.3079972451847</v>
      </c>
      <c r="D14" s="6">
        <f t="shared" si="0"/>
        <v>75.908959040987042</v>
      </c>
      <c r="E14" s="6">
        <f t="shared" si="1"/>
        <v>2.0232330437741761</v>
      </c>
      <c r="H14" s="8"/>
    </row>
    <row r="15" spans="1:8">
      <c r="A15" s="27" t="s">
        <v>7</v>
      </c>
      <c r="B15" s="2" t="s">
        <v>25</v>
      </c>
      <c r="C15" s="28">
        <f>'[2]Структури 2024-2025'!$P$28</f>
        <v>456.56055161058077</v>
      </c>
      <c r="D15" s="6">
        <f t="shared" si="0"/>
        <v>25.29142082043688</v>
      </c>
      <c r="E15" s="6">
        <f t="shared" si="1"/>
        <v>0.67410275380375861</v>
      </c>
    </row>
    <row r="16" spans="1:8">
      <c r="A16" s="27" t="s">
        <v>8</v>
      </c>
      <c r="B16" s="2" t="s">
        <v>74</v>
      </c>
      <c r="C16" s="28">
        <f>'[1]Структури 2024-2025'!$P$22</f>
        <v>298.53373142290781</v>
      </c>
      <c r="D16" s="6">
        <f t="shared" si="0"/>
        <v>16.537438908984058</v>
      </c>
      <c r="E16" s="6">
        <f t="shared" si="1"/>
        <v>0.44077923452997253</v>
      </c>
      <c r="H16" s="8"/>
    </row>
    <row r="17" spans="1:8">
      <c r="A17" s="27" t="s">
        <v>9</v>
      </c>
      <c r="B17" s="2" t="s">
        <v>41</v>
      </c>
      <c r="C17" s="28">
        <f>'[1]Структури 2024-2025'!$P$31</f>
        <v>2354.8959378726017</v>
      </c>
      <c r="D17" s="6">
        <f t="shared" si="0"/>
        <v>130.45074512673489</v>
      </c>
      <c r="E17" s="6">
        <f t="shared" si="1"/>
        <v>3.4769579435658295</v>
      </c>
      <c r="H17" s="8"/>
    </row>
    <row r="18" spans="1:8">
      <c r="A18" s="27" t="s">
        <v>43</v>
      </c>
      <c r="B18" s="2" t="s">
        <v>42</v>
      </c>
      <c r="C18" s="28">
        <f>'[1]Структури 2024-2025'!$P$37</f>
        <v>3128.8947844353684</v>
      </c>
      <c r="D18" s="6">
        <f t="shared" si="0"/>
        <v>173.32683346572142</v>
      </c>
      <c r="E18" s="6">
        <f t="shared" si="1"/>
        <v>4.6197521514060194</v>
      </c>
      <c r="H18" s="8"/>
    </row>
    <row r="19" spans="1:8" s="20" customFormat="1">
      <c r="A19" s="27" t="s">
        <v>54</v>
      </c>
      <c r="B19" s="2" t="s">
        <v>29</v>
      </c>
      <c r="C19" s="28">
        <f>'[2]Структури 2024-2025'!$P$24</f>
        <v>2395.6035029857089</v>
      </c>
      <c r="D19" s="6">
        <f t="shared" si="0"/>
        <v>132.70576290306059</v>
      </c>
      <c r="E19" s="6">
        <f t="shared" si="1"/>
        <v>3.5370618698612333</v>
      </c>
      <c r="H19" s="8"/>
    </row>
    <row r="20" spans="1:8">
      <c r="A20" s="27" t="s">
        <v>64</v>
      </c>
      <c r="B20" s="2" t="s">
        <v>79</v>
      </c>
      <c r="C20" s="28">
        <f>'[2]Структури 2024-2025'!$P$23</f>
        <v>78.716227081263142</v>
      </c>
      <c r="D20" s="6">
        <f t="shared" si="0"/>
        <v>4.3605283406249464</v>
      </c>
      <c r="E20" s="6">
        <f t="shared" si="1"/>
        <v>0.11622297471241218</v>
      </c>
    </row>
    <row r="21" spans="1:8" s="19" customFormat="1">
      <c r="A21" s="27" t="s">
        <v>65</v>
      </c>
      <c r="B21" s="2" t="s">
        <v>55</v>
      </c>
      <c r="C21" s="28">
        <f>'[1]Структури 2024-2025'!$P$49</f>
        <v>-3811.3670726721234</v>
      </c>
      <c r="D21" s="6">
        <f t="shared" si="0"/>
        <v>-211.13275817645862</v>
      </c>
      <c r="E21" s="6">
        <f t="shared" si="1"/>
        <v>-5.6274091801883701</v>
      </c>
      <c r="G21" s="8"/>
    </row>
    <row r="22" spans="1:8">
      <c r="A22" s="27" t="s">
        <v>66</v>
      </c>
      <c r="B22" s="2" t="s">
        <v>27</v>
      </c>
      <c r="C22" s="28">
        <f>'[1]Структури 2024-2025'!$P$51</f>
        <v>1434.4162323087514</v>
      </c>
      <c r="D22" s="6">
        <f t="shared" si="0"/>
        <v>79.460269694806087</v>
      </c>
      <c r="E22" s="6">
        <f t="shared" si="1"/>
        <v>2.1178876030553058</v>
      </c>
    </row>
    <row r="23" spans="1:8">
      <c r="A23" s="26">
        <v>2</v>
      </c>
      <c r="B23" s="1" t="s">
        <v>28</v>
      </c>
      <c r="C23" s="6">
        <f>SUM(C24:C32)</f>
        <v>15405.854804432502</v>
      </c>
      <c r="D23" s="6">
        <f t="shared" ref="D23:D40" si="2">C23/C$46*1000</f>
        <v>941.85208677179958</v>
      </c>
      <c r="E23" s="6">
        <f t="shared" si="1"/>
        <v>25.103575235110871</v>
      </c>
    </row>
    <row r="24" spans="1:8">
      <c r="A24" s="27" t="s">
        <v>16</v>
      </c>
      <c r="B24" s="2" t="s">
        <v>22</v>
      </c>
      <c r="C24" s="28">
        <f>'[1]Структури 2024-2025'!$X$21</f>
        <v>2248.8691121667471</v>
      </c>
      <c r="D24" s="6">
        <f t="shared" si="2"/>
        <v>137.486825175159</v>
      </c>
      <c r="E24" s="6">
        <f t="shared" si="1"/>
        <v>3.6644935102823397</v>
      </c>
      <c r="F24" s="8"/>
    </row>
    <row r="25" spans="1:8">
      <c r="A25" s="27" t="s">
        <v>17</v>
      </c>
      <c r="B25" s="2" t="s">
        <v>23</v>
      </c>
      <c r="C25" s="28">
        <f>'[2]Структури 2024-2025'!$X$25</f>
        <v>3333.2950239013526</v>
      </c>
      <c r="D25" s="6">
        <f t="shared" si="2"/>
        <v>203.78426993770381</v>
      </c>
      <c r="E25" s="6">
        <f t="shared" si="1"/>
        <v>5.4315468680941308</v>
      </c>
    </row>
    <row r="26" spans="1:8">
      <c r="A26" s="27" t="s">
        <v>33</v>
      </c>
      <c r="B26" s="2" t="s">
        <v>24</v>
      </c>
      <c r="C26" s="28">
        <f>'[2]Структури 2024-2025'!$X$27</f>
        <v>733.32490525829746</v>
      </c>
      <c r="D26" s="6">
        <f t="shared" si="2"/>
        <v>44.832539386294833</v>
      </c>
      <c r="E26" s="6">
        <f t="shared" si="1"/>
        <v>1.1949403109807086</v>
      </c>
    </row>
    <row r="27" spans="1:8">
      <c r="A27" s="27" t="s">
        <v>34</v>
      </c>
      <c r="B27" s="2" t="s">
        <v>25</v>
      </c>
      <c r="C27" s="28">
        <f>'[2]Структури 2024-2025'!$X$28</f>
        <v>126.97320040801846</v>
      </c>
      <c r="D27" s="6">
        <f t="shared" si="2"/>
        <v>7.7626314986415554</v>
      </c>
      <c r="E27" s="6">
        <f t="shared" si="1"/>
        <v>0.20690064457626936</v>
      </c>
    </row>
    <row r="28" spans="1:8">
      <c r="A28" s="27" t="s">
        <v>35</v>
      </c>
      <c r="B28" s="2" t="s">
        <v>29</v>
      </c>
      <c r="C28" s="28">
        <f>'[2]Структури 2024-2025'!$X$24</f>
        <v>3339.7026563882205</v>
      </c>
      <c r="D28" s="6">
        <f t="shared" si="2"/>
        <v>204.17600685237909</v>
      </c>
      <c r="E28" s="6">
        <f t="shared" si="1"/>
        <v>5.4419879949420071</v>
      </c>
    </row>
    <row r="29" spans="1:8">
      <c r="A29" s="27" t="s">
        <v>36</v>
      </c>
      <c r="B29" s="2" t="s">
        <v>41</v>
      </c>
      <c r="C29" s="28">
        <f>'[1]Структури 2024-2025'!$X$31</f>
        <v>535.72328466935664</v>
      </c>
      <c r="D29" s="6">
        <f t="shared" si="2"/>
        <v>32.751969949301561</v>
      </c>
      <c r="E29" s="6">
        <f t="shared" si="1"/>
        <v>0.87295187139038533</v>
      </c>
    </row>
    <row r="30" spans="1:8">
      <c r="A30" s="27" t="s">
        <v>44</v>
      </c>
      <c r="B30" s="2" t="s">
        <v>42</v>
      </c>
      <c r="C30" s="28">
        <f>'[1]Структури 2024-2025'!$X$37</f>
        <v>698.32395958160123</v>
      </c>
      <c r="D30" s="6">
        <f t="shared" si="2"/>
        <v>42.692722145183488</v>
      </c>
      <c r="E30" s="6">
        <f t="shared" si="1"/>
        <v>1.1379068724439407</v>
      </c>
    </row>
    <row r="31" spans="1:8" s="19" customFormat="1">
      <c r="A31" s="27" t="s">
        <v>45</v>
      </c>
      <c r="B31" s="2" t="s">
        <v>56</v>
      </c>
      <c r="C31" s="28">
        <f>'[1]Структури 2024-2025'!$X$46</f>
        <v>3811.3670726721234</v>
      </c>
      <c r="D31" s="6">
        <f t="shared" si="2"/>
        <v>233.01167487420039</v>
      </c>
      <c r="E31" s="6">
        <f t="shared" si="1"/>
        <v>6.2105570428925896</v>
      </c>
    </row>
    <row r="32" spans="1:8">
      <c r="A32" s="27" t="s">
        <v>53</v>
      </c>
      <c r="B32" s="2" t="s">
        <v>27</v>
      </c>
      <c r="C32" s="28">
        <f>'[1]Структури 2024-2025'!$X$51</f>
        <v>578.27558938678294</v>
      </c>
      <c r="D32" s="6">
        <f t="shared" si="2"/>
        <v>35.353446952935684</v>
      </c>
      <c r="E32" s="6">
        <f t="shared" si="1"/>
        <v>0.94229011950849251</v>
      </c>
      <c r="F32" s="8"/>
    </row>
    <row r="33" spans="1:8">
      <c r="A33" s="26">
        <v>3</v>
      </c>
      <c r="B33" s="1" t="s">
        <v>30</v>
      </c>
      <c r="C33" s="6">
        <f>SUM(C34:C40)</f>
        <v>1108.977752909949</v>
      </c>
      <c r="D33" s="6">
        <f t="shared" si="2"/>
        <v>67.798445722156202</v>
      </c>
      <c r="E33" s="6">
        <f t="shared" si="1"/>
        <v>1.8070601604157202</v>
      </c>
    </row>
    <row r="34" spans="1:8">
      <c r="A34" s="27" t="s">
        <v>13</v>
      </c>
      <c r="B34" s="2" t="s">
        <v>23</v>
      </c>
      <c r="C34" s="28">
        <f>'[2]Структури 2024-2025'!$AG$25</f>
        <v>755.29306782085757</v>
      </c>
      <c r="D34" s="6">
        <f t="shared" si="2"/>
        <v>46.175584612589994</v>
      </c>
      <c r="E34" s="6">
        <f t="shared" si="1"/>
        <v>1.2307370537559104</v>
      </c>
      <c r="F34" s="8"/>
    </row>
    <row r="35" spans="1:8">
      <c r="A35" s="27" t="s">
        <v>14</v>
      </c>
      <c r="B35" s="2" t="s">
        <v>24</v>
      </c>
      <c r="C35" s="28">
        <f>'[2]Структури 2024-2025'!$AG$27</f>
        <v>166.16447492058867</v>
      </c>
      <c r="D35" s="6">
        <f t="shared" si="2"/>
        <v>10.158628614769798</v>
      </c>
      <c r="E35" s="6">
        <f t="shared" si="1"/>
        <v>0.27076215182630026</v>
      </c>
    </row>
    <row r="36" spans="1:8">
      <c r="A36" s="27" t="s">
        <v>15</v>
      </c>
      <c r="B36" s="2" t="s">
        <v>25</v>
      </c>
      <c r="C36" s="28">
        <f>'[2]Структури 2024-2025'!$AG$28</f>
        <v>0</v>
      </c>
      <c r="D36" s="6">
        <f t="shared" si="2"/>
        <v>0</v>
      </c>
      <c r="E36" s="6">
        <f t="shared" si="1"/>
        <v>0</v>
      </c>
      <c r="F36" s="8"/>
    </row>
    <row r="37" spans="1:8">
      <c r="A37" s="27" t="s">
        <v>37</v>
      </c>
      <c r="B37" s="2" t="s">
        <v>26</v>
      </c>
      <c r="C37" s="28">
        <f>'[2]Структури 2024-2025'!$AG$30</f>
        <v>18.786124962775659</v>
      </c>
      <c r="D37" s="6">
        <f t="shared" si="2"/>
        <v>1.1485082277586625</v>
      </c>
      <c r="E37" s="6">
        <f t="shared" si="1"/>
        <v>3.0611667276232334E-2</v>
      </c>
    </row>
    <row r="38" spans="1:8">
      <c r="A38" s="27" t="s">
        <v>40</v>
      </c>
      <c r="B38" s="2" t="s">
        <v>41</v>
      </c>
      <c r="C38" s="28">
        <f>'[1]Структури 2024-2025'!$AG$31</f>
        <v>52.983621560705608</v>
      </c>
      <c r="D38" s="6">
        <f t="shared" si="2"/>
        <v>3.2392058191616933</v>
      </c>
      <c r="E38" s="6">
        <f t="shared" si="1"/>
        <v>8.6335899368279873E-2</v>
      </c>
    </row>
    <row r="39" spans="1:8">
      <c r="A39" s="27" t="s">
        <v>46</v>
      </c>
      <c r="B39" s="2" t="s">
        <v>42</v>
      </c>
      <c r="C39" s="28">
        <f>'[1]Структури 2024-2025'!$AG$37</f>
        <v>74.123772246091747</v>
      </c>
      <c r="D39" s="6">
        <f t="shared" si="2"/>
        <v>4.5316297249077451</v>
      </c>
      <c r="E39" s="6">
        <f t="shared" si="1"/>
        <v>0.12078341104153562</v>
      </c>
    </row>
    <row r="40" spans="1:8">
      <c r="A40" s="27" t="s">
        <v>47</v>
      </c>
      <c r="B40" s="2" t="s">
        <v>27</v>
      </c>
      <c r="C40" s="28">
        <f>'[1]Структури 2024-2025'!$AG$51</f>
        <v>41.626691398929751</v>
      </c>
      <c r="D40" s="6">
        <f t="shared" si="2"/>
        <v>2.5448887229683277</v>
      </c>
      <c r="E40" s="6">
        <f t="shared" si="1"/>
        <v>6.7829977147462084E-2</v>
      </c>
    </row>
    <row r="41" spans="1:8" ht="27">
      <c r="A41" s="26">
        <v>4</v>
      </c>
      <c r="B41" s="3" t="s">
        <v>12</v>
      </c>
      <c r="C41" s="6">
        <f>C8+C23+C33</f>
        <v>54729.152182183294</v>
      </c>
      <c r="D41" s="6">
        <f>D33+D23+D8</f>
        <v>3126.5536148760975</v>
      </c>
      <c r="E41" s="6">
        <f t="shared" si="1"/>
        <v>83.333333333333343</v>
      </c>
    </row>
    <row r="42" spans="1:8">
      <c r="A42" s="26">
        <v>5</v>
      </c>
      <c r="B42" s="3" t="s">
        <v>76</v>
      </c>
      <c r="C42" s="6" t="s">
        <v>77</v>
      </c>
      <c r="D42" s="6">
        <f>D41</f>
        <v>3126.5536148760975</v>
      </c>
      <c r="E42" s="6">
        <f t="shared" si="1"/>
        <v>83.333333333333343</v>
      </c>
    </row>
    <row r="43" spans="1:8" s="23" customFormat="1">
      <c r="A43" s="26">
        <v>6</v>
      </c>
      <c r="B43" s="5" t="s">
        <v>75</v>
      </c>
      <c r="C43" s="6" t="s">
        <v>77</v>
      </c>
      <c r="D43" s="6">
        <f>D42*20%</f>
        <v>625.31072297521951</v>
      </c>
      <c r="E43" s="6">
        <f t="shared" si="1"/>
        <v>16.666666666666664</v>
      </c>
    </row>
    <row r="44" spans="1:8" s="23" customFormat="1">
      <c r="A44" s="26">
        <v>7</v>
      </c>
      <c r="B44" s="5" t="s">
        <v>73</v>
      </c>
      <c r="C44" s="6" t="s">
        <v>77</v>
      </c>
      <c r="D44" s="6">
        <f>D42+D43</f>
        <v>3751.864337851317</v>
      </c>
      <c r="E44" s="6">
        <f t="shared" si="1"/>
        <v>100</v>
      </c>
    </row>
    <row r="45" spans="1:8" s="19" customFormat="1">
      <c r="A45" s="26">
        <v>8</v>
      </c>
      <c r="B45" s="3" t="s">
        <v>52</v>
      </c>
      <c r="C45" s="6">
        <f>'[2]Структури 2024-2025'!$AG$56</f>
        <v>18051.992999999999</v>
      </c>
      <c r="D45" s="6" t="s">
        <v>77</v>
      </c>
      <c r="E45" s="6" t="s">
        <v>77</v>
      </c>
    </row>
    <row r="46" spans="1:8">
      <c r="A46" s="26">
        <v>9</v>
      </c>
      <c r="B46" s="3" t="s">
        <v>32</v>
      </c>
      <c r="C46" s="6">
        <f>'[2]Структури 2024-2025'!$AG$58</f>
        <v>16356.978999999999</v>
      </c>
      <c r="D46" s="6" t="s">
        <v>77</v>
      </c>
      <c r="E46" s="6" t="s">
        <v>77</v>
      </c>
      <c r="H46" s="13"/>
    </row>
    <row r="47" spans="1:8">
      <c r="A47" s="26">
        <v>10</v>
      </c>
      <c r="B47" s="5" t="s">
        <v>39</v>
      </c>
      <c r="C47" s="29" t="s">
        <v>77</v>
      </c>
      <c r="D47" s="30">
        <f>(C22+C32+C40)/C41*100</f>
        <v>3.7536092396535126</v>
      </c>
      <c r="E47" s="6" t="s">
        <v>77</v>
      </c>
      <c r="H47" s="10">
        <f>H46*1.6%</f>
        <v>0</v>
      </c>
    </row>
    <row r="48" spans="1:8">
      <c r="A48" s="17"/>
      <c r="B48" s="4"/>
      <c r="C48" s="9"/>
      <c r="D48" s="40"/>
      <c r="E48" s="9"/>
    </row>
    <row r="49" spans="1:5">
      <c r="A49" s="17"/>
      <c r="B49" s="4" t="s">
        <v>87</v>
      </c>
      <c r="C49" s="9"/>
      <c r="D49" s="48" t="s">
        <v>51</v>
      </c>
      <c r="E49" s="48"/>
    </row>
    <row r="50" spans="1:5">
      <c r="A50" s="17"/>
      <c r="B50" s="9"/>
      <c r="C50" s="9"/>
      <c r="D50" s="9"/>
      <c r="E50" s="9"/>
    </row>
    <row r="51" spans="1:5">
      <c r="A51" s="17"/>
      <c r="B51" s="9" t="s">
        <v>38</v>
      </c>
      <c r="C51" s="9"/>
      <c r="D51" s="9" t="s">
        <v>50</v>
      </c>
      <c r="E51" s="9"/>
    </row>
  </sheetData>
  <mergeCells count="7">
    <mergeCell ref="A2:E3"/>
    <mergeCell ref="D49:E49"/>
    <mergeCell ref="C5:D5"/>
    <mergeCell ref="A5:A6"/>
    <mergeCell ref="B5:B6"/>
    <mergeCell ref="E5:E6"/>
    <mergeCell ref="A4:D4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P52"/>
  <sheetViews>
    <sheetView view="pageBreakPreview" topLeftCell="A10" zoomScale="60" zoomScaleNormal="100" workbookViewId="0">
      <selection activeCell="U20" sqref="U20"/>
    </sheetView>
  </sheetViews>
  <sheetFormatPr defaultRowHeight="15"/>
  <cols>
    <col min="1" max="1" width="9.140625" style="23"/>
    <col min="2" max="2" width="4.28515625" customWidth="1"/>
    <col min="3" max="3" width="44.5703125" customWidth="1"/>
    <col min="4" max="4" width="11.5703125" customWidth="1"/>
    <col min="5" max="5" width="11.7109375" customWidth="1"/>
    <col min="6" max="6" width="12.42578125" customWidth="1"/>
    <col min="7" max="7" width="9.28515625" bestFit="1" customWidth="1"/>
    <col min="8" max="8" width="10.7109375" bestFit="1" customWidth="1"/>
    <col min="9" max="9" width="9.28515625" bestFit="1" customWidth="1"/>
    <col min="12" max="12" width="10.42578125" bestFit="1" customWidth="1"/>
  </cols>
  <sheetData>
    <row r="1" spans="1:16">
      <c r="B1" s="17"/>
      <c r="C1" s="17"/>
      <c r="D1" s="17"/>
      <c r="E1" s="17"/>
      <c r="F1" s="17" t="s">
        <v>57</v>
      </c>
    </row>
    <row r="2" spans="1:16" ht="54.75" customHeight="1">
      <c r="B2" s="45" t="s">
        <v>81</v>
      </c>
      <c r="C2" s="46"/>
      <c r="D2" s="46"/>
      <c r="E2" s="46"/>
      <c r="F2" s="46"/>
    </row>
    <row r="3" spans="1:16">
      <c r="B3" s="51"/>
      <c r="C3" s="51"/>
      <c r="D3" s="51"/>
      <c r="E3" s="51"/>
      <c r="F3" s="17"/>
    </row>
    <row r="4" spans="1:16">
      <c r="B4" s="17"/>
      <c r="C4" s="17"/>
      <c r="D4" s="17"/>
      <c r="E4" s="17"/>
      <c r="F4" s="17"/>
    </row>
    <row r="5" spans="1:16" ht="45" customHeight="1">
      <c r="B5" s="49" t="s">
        <v>0</v>
      </c>
      <c r="C5" s="49" t="s">
        <v>18</v>
      </c>
      <c r="D5" s="49" t="s">
        <v>69</v>
      </c>
      <c r="E5" s="49"/>
      <c r="F5" s="49" t="s">
        <v>19</v>
      </c>
      <c r="G5" s="15"/>
      <c r="H5" s="10"/>
      <c r="I5" s="10"/>
      <c r="J5" s="10"/>
      <c r="K5" s="10"/>
      <c r="L5" s="10"/>
      <c r="M5" s="10"/>
      <c r="N5" s="10"/>
      <c r="O5" s="14"/>
      <c r="P5" s="14"/>
    </row>
    <row r="6" spans="1:16">
      <c r="B6" s="49"/>
      <c r="C6" s="49"/>
      <c r="D6" s="24" t="s">
        <v>20</v>
      </c>
      <c r="E6" s="24" t="s">
        <v>10</v>
      </c>
      <c r="F6" s="49"/>
      <c r="G6" s="15"/>
      <c r="H6" s="38"/>
      <c r="I6" s="38"/>
      <c r="J6" s="38"/>
      <c r="K6" s="38"/>
      <c r="L6" s="38"/>
      <c r="M6" s="38"/>
      <c r="N6" s="38"/>
      <c r="O6" s="38"/>
      <c r="P6" s="14"/>
    </row>
    <row r="7" spans="1:16">
      <c r="B7" s="25">
        <v>1</v>
      </c>
      <c r="C7" s="25">
        <v>2</v>
      </c>
      <c r="D7" s="25">
        <v>3</v>
      </c>
      <c r="E7" s="25">
        <v>4</v>
      </c>
      <c r="F7" s="25">
        <v>5</v>
      </c>
      <c r="G7" s="10"/>
      <c r="H7" s="38"/>
      <c r="I7" s="38"/>
      <c r="J7" s="38"/>
      <c r="K7" s="38"/>
      <c r="L7" s="38"/>
      <c r="M7" s="38"/>
      <c r="N7" s="38"/>
      <c r="O7" s="38"/>
      <c r="P7" s="14"/>
    </row>
    <row r="8" spans="1:16" ht="20.25" customHeight="1">
      <c r="B8" s="26">
        <v>1</v>
      </c>
      <c r="C8" s="1" t="s">
        <v>21</v>
      </c>
      <c r="D8" s="6">
        <f>SUM(D9:D22)</f>
        <v>37329.577644287841</v>
      </c>
      <c r="E8" s="6">
        <f t="shared" ref="E8:E22" si="0">D8/D$45*1000</f>
        <v>2927.3668883288915</v>
      </c>
      <c r="F8" s="6">
        <f>E8/E$44*100</f>
        <v>60.539073277404434</v>
      </c>
      <c r="G8" s="38">
        <f>D8*90%</f>
        <v>33596.619879859056</v>
      </c>
      <c r="H8" s="43">
        <f>E8*90%</f>
        <v>2634.6301994960022</v>
      </c>
      <c r="I8" s="38"/>
      <c r="J8" s="38">
        <f>G8/D46*1000</f>
        <v>2907.5521642117924</v>
      </c>
      <c r="K8" s="38"/>
      <c r="L8" s="38"/>
      <c r="M8" s="38"/>
      <c r="N8" s="38"/>
      <c r="O8" s="38"/>
      <c r="P8" s="14"/>
    </row>
    <row r="9" spans="1:16" ht="19.5" customHeight="1">
      <c r="B9" s="27" t="s">
        <v>1</v>
      </c>
      <c r="C9" s="39" t="s">
        <v>72</v>
      </c>
      <c r="D9" s="28">
        <f>'[1]Структури 2024-2025'!$Q$18</f>
        <v>22623.182276485</v>
      </c>
      <c r="E9" s="6">
        <f t="shared" si="0"/>
        <v>1774.0986875308286</v>
      </c>
      <c r="F9" s="28">
        <f t="shared" ref="F9:F44" si="1">E9/E$44*100</f>
        <v>36.689043274342438</v>
      </c>
      <c r="G9" s="38">
        <f t="shared" ref="G9:G42" si="2">D9*90%</f>
        <v>20360.864048836502</v>
      </c>
      <c r="H9" s="43">
        <f t="shared" ref="H9:H44" si="3">E9*90%</f>
        <v>1596.6888187777458</v>
      </c>
      <c r="I9" s="38"/>
      <c r="J9" s="38"/>
      <c r="K9" s="38"/>
      <c r="L9" s="38"/>
      <c r="M9" s="38"/>
      <c r="N9" s="38"/>
      <c r="O9" s="38"/>
      <c r="P9" s="14"/>
    </row>
    <row r="10" spans="1:16" s="20" customFormat="1" ht="19.5" customHeight="1">
      <c r="A10" s="23"/>
      <c r="B10" s="27" t="s">
        <v>2</v>
      </c>
      <c r="C10" s="39" t="s">
        <v>67</v>
      </c>
      <c r="D10" s="28">
        <f>'[2]Структури 2024-2025'!$Q$19</f>
        <v>2447.6839606000003</v>
      </c>
      <c r="E10" s="6">
        <f t="shared" si="0"/>
        <v>191.94615721698599</v>
      </c>
      <c r="F10" s="28">
        <f t="shared" si="1"/>
        <v>3.9695203643260473</v>
      </c>
      <c r="G10" s="38">
        <f t="shared" si="2"/>
        <v>2202.9155645400006</v>
      </c>
      <c r="H10" s="43">
        <f t="shared" si="3"/>
        <v>172.7515414952874</v>
      </c>
      <c r="I10" s="38"/>
      <c r="J10" s="38"/>
      <c r="K10" s="38"/>
      <c r="L10" s="38"/>
      <c r="M10" s="38"/>
      <c r="N10" s="38"/>
      <c r="O10" s="38"/>
      <c r="P10" s="14"/>
    </row>
    <row r="11" spans="1:16" s="20" customFormat="1" ht="19.5" customHeight="1">
      <c r="A11" s="23"/>
      <c r="B11" s="27" t="s">
        <v>3</v>
      </c>
      <c r="C11" s="39" t="s">
        <v>68</v>
      </c>
      <c r="D11" s="28">
        <f>'[2]Структури 2024-2025'!$Q$20</f>
        <v>1760.1958436699999</v>
      </c>
      <c r="E11" s="6">
        <f t="shared" si="0"/>
        <v>138.03368146390389</v>
      </c>
      <c r="F11" s="28">
        <f t="shared" si="1"/>
        <v>2.854589628040614</v>
      </c>
      <c r="G11" s="38">
        <f t="shared" si="2"/>
        <v>1584.1762593030001</v>
      </c>
      <c r="H11" s="43">
        <f t="shared" si="3"/>
        <v>124.23031331751351</v>
      </c>
      <c r="I11" s="38"/>
      <c r="J11" s="38"/>
      <c r="K11" s="38"/>
      <c r="L11" s="38"/>
      <c r="M11" s="38"/>
      <c r="N11" s="38"/>
      <c r="O11" s="38"/>
      <c r="P11" s="14"/>
    </row>
    <row r="12" spans="1:16" ht="19.5" customHeight="1">
      <c r="B12" s="27" t="s">
        <v>4</v>
      </c>
      <c r="C12" s="2" t="s">
        <v>22</v>
      </c>
      <c r="D12" s="28">
        <f>'[1]Структури 2024-2025'!$Q$21</f>
        <v>1296.2078061517</v>
      </c>
      <c r="E12" s="6">
        <f t="shared" si="0"/>
        <v>101.64797063281401</v>
      </c>
      <c r="F12" s="28">
        <f t="shared" si="1"/>
        <v>2.1021191321024508</v>
      </c>
      <c r="G12" s="38">
        <f t="shared" si="2"/>
        <v>1166.5870255365301</v>
      </c>
      <c r="H12" s="43">
        <f t="shared" si="3"/>
        <v>91.48317356953261</v>
      </c>
      <c r="I12" s="38"/>
      <c r="J12" s="38"/>
      <c r="K12" s="38"/>
      <c r="L12" s="38"/>
      <c r="M12" s="38"/>
      <c r="N12" s="38"/>
      <c r="O12" s="38"/>
      <c r="P12" s="14"/>
    </row>
    <row r="13" spans="1:16" ht="15.75" customHeight="1">
      <c r="B13" s="27" t="s">
        <v>5</v>
      </c>
      <c r="C13" s="2" t="s">
        <v>23</v>
      </c>
      <c r="D13" s="28">
        <f>'[2]Структури 2024-2025'!$Q$25</f>
        <v>4399.9351457433368</v>
      </c>
      <c r="E13" s="6">
        <f t="shared" si="0"/>
        <v>345.0407229135775</v>
      </c>
      <c r="F13" s="28">
        <f t="shared" si="1"/>
        <v>7.1355748715453933</v>
      </c>
      <c r="G13" s="38">
        <f t="shared" si="2"/>
        <v>3959.9416311690034</v>
      </c>
      <c r="H13" s="43">
        <f t="shared" si="3"/>
        <v>310.53665062221978</v>
      </c>
      <c r="I13" s="38"/>
      <c r="J13" s="38"/>
      <c r="K13" s="38"/>
      <c r="L13" s="38"/>
      <c r="M13" s="38"/>
      <c r="N13" s="38"/>
      <c r="O13" s="38"/>
      <c r="P13" s="14"/>
    </row>
    <row r="14" spans="1:16" ht="15.75" customHeight="1">
      <c r="B14" s="27" t="s">
        <v>6</v>
      </c>
      <c r="C14" s="2" t="s">
        <v>24</v>
      </c>
      <c r="D14" s="28">
        <f>'[2]Структури 2024-2025'!$Q$27</f>
        <v>967.98573206353399</v>
      </c>
      <c r="E14" s="6">
        <f t="shared" si="0"/>
        <v>75.908959040987042</v>
      </c>
      <c r="F14" s="28">
        <f t="shared" si="1"/>
        <v>1.5698264717399866</v>
      </c>
      <c r="G14" s="38">
        <f t="shared" si="2"/>
        <v>871.18715885718063</v>
      </c>
      <c r="H14" s="43">
        <f t="shared" si="3"/>
        <v>68.318063136888341</v>
      </c>
      <c r="I14" s="43">
        <f>D13+D23+D29</f>
        <v>16730.972712645635</v>
      </c>
      <c r="J14" s="38"/>
      <c r="K14" s="38"/>
      <c r="L14" s="38"/>
      <c r="M14" s="38"/>
      <c r="N14" s="38"/>
      <c r="O14" s="38"/>
      <c r="P14" s="14"/>
    </row>
    <row r="15" spans="1:16" ht="15.75" customHeight="1">
      <c r="B15" s="27" t="s">
        <v>7</v>
      </c>
      <c r="C15" s="2" t="s">
        <v>25</v>
      </c>
      <c r="D15" s="28">
        <f>'[2]Структури 2024-2025'!$Q$28</f>
        <v>322.51442790275365</v>
      </c>
      <c r="E15" s="6">
        <f t="shared" si="0"/>
        <v>25.29142082043688</v>
      </c>
      <c r="F15" s="28">
        <f t="shared" si="1"/>
        <v>0.52303631104202009</v>
      </c>
      <c r="G15" s="38">
        <f t="shared" si="2"/>
        <v>290.2629851124783</v>
      </c>
      <c r="H15" s="43">
        <f t="shared" si="3"/>
        <v>22.762278738393192</v>
      </c>
      <c r="I15" s="43">
        <f>D14+D24+D30</f>
        <v>3049.9513923727254</v>
      </c>
      <c r="J15" s="38"/>
      <c r="K15" s="38"/>
      <c r="L15" s="38"/>
      <c r="M15" s="38"/>
      <c r="N15" s="38"/>
      <c r="O15" s="38"/>
      <c r="P15" s="14"/>
    </row>
    <row r="16" spans="1:16" ht="15" customHeight="1">
      <c r="B16" s="27" t="s">
        <v>8</v>
      </c>
      <c r="C16" s="2" t="s">
        <v>74</v>
      </c>
      <c r="D16" s="28">
        <f>'[1]Структури 2024-2025'!$Q$22</f>
        <v>210.88426334664106</v>
      </c>
      <c r="E16" s="6">
        <f t="shared" si="0"/>
        <v>16.537438908984058</v>
      </c>
      <c r="F16" s="28">
        <f t="shared" si="1"/>
        <v>0.34200059784891029</v>
      </c>
      <c r="G16" s="38">
        <f t="shared" si="2"/>
        <v>189.79583701197697</v>
      </c>
      <c r="H16" s="43">
        <f t="shared" si="3"/>
        <v>14.883695018085652</v>
      </c>
      <c r="I16" s="43">
        <f>D20+D27+D33</f>
        <v>928.70962139512278</v>
      </c>
      <c r="J16" s="38"/>
      <c r="K16" s="38"/>
      <c r="L16" s="38"/>
      <c r="M16" s="38"/>
      <c r="N16" s="38"/>
      <c r="O16" s="38"/>
      <c r="P16" s="14"/>
    </row>
    <row r="17" spans="1:16" ht="14.25" customHeight="1">
      <c r="B17" s="27" t="s">
        <v>9</v>
      </c>
      <c r="C17" s="2" t="s">
        <v>41</v>
      </c>
      <c r="D17" s="28">
        <f>'[1]Структури 2024-2025'!$Q$31</f>
        <v>1663.4987703039642</v>
      </c>
      <c r="E17" s="6">
        <f t="shared" si="0"/>
        <v>130.45074512673489</v>
      </c>
      <c r="F17" s="28">
        <f t="shared" si="1"/>
        <v>2.6977715877724102</v>
      </c>
      <c r="G17" s="38">
        <f t="shared" si="2"/>
        <v>1497.1488932735679</v>
      </c>
      <c r="H17" s="43">
        <f t="shared" si="3"/>
        <v>117.40567061406141</v>
      </c>
      <c r="I17" s="38"/>
      <c r="J17" s="38"/>
      <c r="K17" s="38"/>
      <c r="L17" s="38"/>
      <c r="M17" s="38"/>
      <c r="N17" s="38"/>
      <c r="O17" s="38"/>
      <c r="P17" s="14"/>
    </row>
    <row r="18" spans="1:16" ht="14.25" customHeight="1">
      <c r="B18" s="27" t="s">
        <v>43</v>
      </c>
      <c r="C18" s="2" t="s">
        <v>42</v>
      </c>
      <c r="D18" s="28">
        <f>'[1]Структури 2024-2025'!$Q$37</f>
        <v>2210.2516474765366</v>
      </c>
      <c r="E18" s="6">
        <f t="shared" si="0"/>
        <v>173.32683346572139</v>
      </c>
      <c r="F18" s="28">
        <f t="shared" si="1"/>
        <v>3.5844655871310387</v>
      </c>
      <c r="G18" s="38">
        <f t="shared" si="2"/>
        <v>1989.226482728883</v>
      </c>
      <c r="H18" s="43">
        <f t="shared" si="3"/>
        <v>155.99415011914925</v>
      </c>
      <c r="I18" s="38"/>
      <c r="J18" s="38"/>
      <c r="K18" s="38"/>
      <c r="L18" s="38"/>
      <c r="M18" s="38"/>
      <c r="N18" s="38"/>
      <c r="O18" s="38"/>
      <c r="P18" s="14"/>
    </row>
    <row r="19" spans="1:16" s="20" customFormat="1" ht="14.25" customHeight="1">
      <c r="A19" s="23"/>
      <c r="B19" s="27" t="s">
        <v>54</v>
      </c>
      <c r="C19" s="2" t="s">
        <v>29</v>
      </c>
      <c r="D19" s="28">
        <f>'[2]Структури 2024-2025'!$Q$24</f>
        <v>1692.2545991364252</v>
      </c>
      <c r="E19" s="6">
        <f t="shared" si="0"/>
        <v>132.70576290306059</v>
      </c>
      <c r="F19" s="28">
        <f t="shared" si="1"/>
        <v>2.7444062227910369</v>
      </c>
      <c r="G19" s="38">
        <f t="shared" si="2"/>
        <v>1523.0291392227828</v>
      </c>
      <c r="H19" s="43"/>
      <c r="I19" s="38"/>
      <c r="J19" s="38"/>
      <c r="K19" s="38"/>
      <c r="L19" s="38"/>
      <c r="M19" s="38"/>
      <c r="N19" s="38"/>
      <c r="O19" s="38"/>
      <c r="P19" s="14"/>
    </row>
    <row r="20" spans="1:16" ht="15.75" customHeight="1">
      <c r="B20" s="27" t="s">
        <v>64</v>
      </c>
      <c r="C20" s="2" t="s">
        <v>79</v>
      </c>
      <c r="D20" s="28">
        <f>'[2]Структури 2024-2025'!$Q$23</f>
        <v>55.605152162665476</v>
      </c>
      <c r="E20" s="6">
        <f t="shared" si="0"/>
        <v>4.3605283406249464</v>
      </c>
      <c r="F20" s="28">
        <f t="shared" si="1"/>
        <v>9.0177403383826821E-2</v>
      </c>
      <c r="G20" s="38">
        <f t="shared" si="2"/>
        <v>50.044636946398931</v>
      </c>
      <c r="H20" s="43">
        <f t="shared" si="3"/>
        <v>3.9244755065624517</v>
      </c>
      <c r="I20" s="38"/>
      <c r="J20" s="38"/>
      <c r="K20" s="38"/>
      <c r="L20" s="38"/>
      <c r="M20" s="38"/>
      <c r="N20" s="38"/>
      <c r="O20" s="38"/>
      <c r="P20" s="14"/>
    </row>
    <row r="21" spans="1:16" s="19" customFormat="1" ht="15.75" customHeight="1">
      <c r="A21" s="23"/>
      <c r="B21" s="27" t="s">
        <v>65</v>
      </c>
      <c r="C21" s="2" t="str">
        <f>'Структура нас.общ.'!B21</f>
        <v>витрати на покриття втрат</v>
      </c>
      <c r="D21" s="28">
        <f>'[1]Структури 2024-2025'!$Q$49</f>
        <v>-3721.8284563343304</v>
      </c>
      <c r="E21" s="6">
        <f t="shared" si="0"/>
        <v>-291.8639340346387</v>
      </c>
      <c r="F21" s="28">
        <f t="shared" si="1"/>
        <v>-6.0358584228029928</v>
      </c>
      <c r="G21" s="38">
        <f t="shared" si="2"/>
        <v>-3349.6456107008976</v>
      </c>
      <c r="H21" s="43">
        <f t="shared" si="3"/>
        <v>-262.67754063117485</v>
      </c>
      <c r="I21" s="38"/>
      <c r="J21" s="38"/>
      <c r="K21" s="38"/>
      <c r="L21" s="38"/>
      <c r="M21" s="38"/>
      <c r="N21" s="38"/>
      <c r="O21" s="38"/>
      <c r="P21" s="14"/>
    </row>
    <row r="22" spans="1:16" ht="20.25" customHeight="1">
      <c r="B22" s="27" t="s">
        <v>66</v>
      </c>
      <c r="C22" s="2" t="s">
        <v>27</v>
      </c>
      <c r="D22" s="28">
        <f>'[1]Структури 2024-2025'!$Q$51</f>
        <v>1401.2064755796207</v>
      </c>
      <c r="E22" s="6">
        <f t="shared" si="0"/>
        <v>109.88191399887081</v>
      </c>
      <c r="F22" s="28">
        <f t="shared" si="1"/>
        <v>2.2724002481412637</v>
      </c>
      <c r="G22" s="38">
        <f t="shared" si="2"/>
        <v>1261.0858280216587</v>
      </c>
      <c r="H22" s="43">
        <f t="shared" si="3"/>
        <v>98.893722598983729</v>
      </c>
      <c r="I22" s="38"/>
      <c r="J22" s="38"/>
      <c r="K22" s="38"/>
      <c r="L22" s="38"/>
      <c r="M22" s="38"/>
      <c r="N22" s="38"/>
      <c r="O22" s="38"/>
      <c r="P22" s="14"/>
    </row>
    <row r="23" spans="1:16" ht="18.75" customHeight="1">
      <c r="B23" s="26">
        <v>2</v>
      </c>
      <c r="C23" s="1" t="s">
        <v>28</v>
      </c>
      <c r="D23" s="6">
        <f>SUM(D24:D32)</f>
        <v>11952.590191736615</v>
      </c>
      <c r="E23" s="6">
        <f t="shared" ref="E23:E40" si="4">D23/D$46*1000</f>
        <v>1034.4129738109309</v>
      </c>
      <c r="F23" s="6">
        <f t="shared" si="1"/>
        <v>21.392058190692399</v>
      </c>
      <c r="G23" s="38">
        <f t="shared" si="2"/>
        <v>10757.331172562954</v>
      </c>
      <c r="H23" s="43">
        <f t="shared" si="3"/>
        <v>930.97167642983788</v>
      </c>
      <c r="I23" s="38"/>
      <c r="J23" s="38"/>
      <c r="K23" s="38"/>
      <c r="L23" s="38"/>
      <c r="M23" s="38"/>
      <c r="N23" s="38"/>
      <c r="O23" s="38"/>
      <c r="P23" s="14"/>
    </row>
    <row r="24" spans="1:16" ht="15.75" customHeight="1">
      <c r="B24" s="27" t="s">
        <v>16</v>
      </c>
      <c r="C24" s="2" t="s">
        <v>22</v>
      </c>
      <c r="D24" s="28">
        <f>'[1]Структури 2024-2025'!$Y$21</f>
        <v>1588.6533905577037</v>
      </c>
      <c r="E24" s="6">
        <f t="shared" si="4"/>
        <v>137.486825175159</v>
      </c>
      <c r="F24" s="28">
        <f t="shared" si="1"/>
        <v>2.8432804296382792</v>
      </c>
      <c r="G24" s="38">
        <f t="shared" si="2"/>
        <v>1429.7880515019333</v>
      </c>
      <c r="H24" s="43">
        <f t="shared" si="3"/>
        <v>123.7381426576431</v>
      </c>
      <c r="I24" s="38"/>
      <c r="J24" s="38"/>
      <c r="K24" s="38"/>
      <c r="L24" s="38"/>
      <c r="M24" s="38"/>
      <c r="N24" s="38"/>
      <c r="O24" s="38"/>
      <c r="P24" s="14"/>
    </row>
    <row r="25" spans="1:16" ht="16.5" customHeight="1">
      <c r="B25" s="27" t="s">
        <v>17</v>
      </c>
      <c r="C25" s="2" t="s">
        <v>23</v>
      </c>
      <c r="D25" s="28">
        <f>'[2]Структури 2024-2025'!$Y$25</f>
        <v>2354.7170499166709</v>
      </c>
      <c r="E25" s="6">
        <f t="shared" si="4"/>
        <v>203.78426993770381</v>
      </c>
      <c r="F25" s="28">
        <f t="shared" si="1"/>
        <v>4.2143370889815701</v>
      </c>
      <c r="G25" s="38">
        <f t="shared" si="2"/>
        <v>2119.2453449250038</v>
      </c>
      <c r="H25" s="43">
        <f t="shared" si="3"/>
        <v>183.40584294393344</v>
      </c>
      <c r="I25" s="38"/>
      <c r="J25" s="38"/>
      <c r="K25" s="38"/>
      <c r="L25" s="38"/>
      <c r="M25" s="38"/>
      <c r="N25" s="38"/>
      <c r="O25" s="38"/>
      <c r="P25" s="14"/>
    </row>
    <row r="26" spans="1:16" ht="15" customHeight="1">
      <c r="B26" s="27" t="s">
        <v>33</v>
      </c>
      <c r="C26" s="2" t="s">
        <v>24</v>
      </c>
      <c r="D26" s="28">
        <f>'[2]Структури 2024-2025'!$Y$27</f>
        <v>518.0377509816675</v>
      </c>
      <c r="E26" s="6">
        <f t="shared" si="4"/>
        <v>44.832539386294833</v>
      </c>
      <c r="F26" s="28">
        <f t="shared" si="1"/>
        <v>0.92715415957594538</v>
      </c>
      <c r="G26" s="38">
        <f t="shared" si="2"/>
        <v>466.23397588350076</v>
      </c>
      <c r="H26" s="43">
        <f t="shared" si="3"/>
        <v>40.349285447665352</v>
      </c>
      <c r="I26" s="38"/>
      <c r="J26" s="38"/>
      <c r="K26" s="38"/>
      <c r="L26" s="38"/>
      <c r="M26" s="38"/>
      <c r="N26" s="38"/>
      <c r="O26" s="38"/>
      <c r="P26" s="14"/>
    </row>
    <row r="27" spans="1:16" ht="14.25" customHeight="1">
      <c r="B27" s="27" t="s">
        <v>34</v>
      </c>
      <c r="C27" s="2" t="s">
        <v>25</v>
      </c>
      <c r="D27" s="28">
        <f>'[2]Структури 2024-2025'!$Y$28</f>
        <v>89.696818835228257</v>
      </c>
      <c r="E27" s="6">
        <f t="shared" si="4"/>
        <v>7.7626314986415563</v>
      </c>
      <c r="F27" s="28">
        <f t="shared" si="1"/>
        <v>0.16053420532812648</v>
      </c>
      <c r="G27" s="38">
        <f t="shared" si="2"/>
        <v>80.727136951705432</v>
      </c>
      <c r="H27" s="43">
        <f t="shared" si="3"/>
        <v>6.9863683487774004</v>
      </c>
      <c r="I27" s="38"/>
      <c r="J27" s="38"/>
      <c r="K27" s="38"/>
      <c r="L27" s="38"/>
      <c r="M27" s="38"/>
      <c r="N27" s="38"/>
      <c r="O27" s="38"/>
      <c r="P27" s="14"/>
    </row>
    <row r="28" spans="1:16" ht="15.75" customHeight="1">
      <c r="B28" s="27" t="s">
        <v>35</v>
      </c>
      <c r="C28" s="2" t="s">
        <v>29</v>
      </c>
      <c r="D28" s="28">
        <f>'[2]Структури 2024-2025'!$Y$24</f>
        <v>2359.2435503788979</v>
      </c>
      <c r="E28" s="6">
        <f t="shared" si="4"/>
        <v>204.17600685237909</v>
      </c>
      <c r="F28" s="28">
        <f t="shared" si="1"/>
        <v>4.2224383590606784</v>
      </c>
      <c r="G28" s="38">
        <f t="shared" si="2"/>
        <v>2123.3191953410083</v>
      </c>
      <c r="H28" s="43">
        <f t="shared" si="3"/>
        <v>183.75840616714117</v>
      </c>
      <c r="I28" s="38"/>
      <c r="J28" s="38"/>
      <c r="K28" s="38"/>
      <c r="L28" s="38"/>
      <c r="M28" s="38"/>
      <c r="N28" s="38"/>
      <c r="O28" s="38"/>
      <c r="P28" s="14"/>
    </row>
    <row r="29" spans="1:16" ht="16.5" customHeight="1">
      <c r="B29" s="27" t="s">
        <v>36</v>
      </c>
      <c r="C29" s="2" t="s">
        <v>41</v>
      </c>
      <c r="D29" s="28">
        <f>'[1]Структури 2024-2025'!$Y$31</f>
        <v>378.44737516568205</v>
      </c>
      <c r="E29" s="6">
        <f t="shared" si="4"/>
        <v>32.751969949301561</v>
      </c>
      <c r="F29" s="28">
        <f t="shared" si="1"/>
        <v>0.67732333676562018</v>
      </c>
      <c r="G29" s="38">
        <f t="shared" si="2"/>
        <v>340.60263764911383</v>
      </c>
      <c r="H29" s="43">
        <f t="shared" si="3"/>
        <v>29.476772954371405</v>
      </c>
      <c r="I29" s="38"/>
      <c r="J29" s="38"/>
      <c r="K29" s="38"/>
      <c r="L29" s="38"/>
      <c r="M29" s="38"/>
      <c r="N29" s="38"/>
      <c r="O29" s="38"/>
      <c r="P29" s="14"/>
    </row>
    <row r="30" spans="1:16" ht="14.25" customHeight="1">
      <c r="B30" s="27" t="s">
        <v>44</v>
      </c>
      <c r="C30" s="2" t="s">
        <v>42</v>
      </c>
      <c r="D30" s="28">
        <f>'[1]Структури 2024-2025'!$Y$37</f>
        <v>493.31226975148792</v>
      </c>
      <c r="E30" s="6">
        <f t="shared" si="4"/>
        <v>42.692722145183488</v>
      </c>
      <c r="F30" s="28">
        <f t="shared" si="1"/>
        <v>0.88290191593803102</v>
      </c>
      <c r="G30" s="38">
        <f t="shared" si="2"/>
        <v>443.98104277633911</v>
      </c>
      <c r="H30" s="43">
        <f t="shared" si="3"/>
        <v>38.423449930665143</v>
      </c>
      <c r="I30" s="38"/>
      <c r="J30" s="38"/>
      <c r="K30" s="38"/>
      <c r="L30" s="38"/>
      <c r="M30" s="38"/>
      <c r="N30" s="38"/>
      <c r="O30" s="38"/>
      <c r="P30" s="14"/>
    </row>
    <row r="31" spans="1:16" s="19" customFormat="1" ht="14.25" customHeight="1">
      <c r="A31" s="23"/>
      <c r="B31" s="27" t="s">
        <v>45</v>
      </c>
      <c r="C31" s="2" t="str">
        <f>'Структура нас.общ.'!B31</f>
        <v>враховані витрати на покриття втрат</v>
      </c>
      <c r="D31" s="28">
        <f>'[1]Структури 2024-2025'!$Y$46</f>
        <v>3721.8284563343304</v>
      </c>
      <c r="E31" s="6">
        <f t="shared" si="4"/>
        <v>322.09818790512549</v>
      </c>
      <c r="F31" s="28">
        <f t="shared" si="1"/>
        <v>6.6611144226062553</v>
      </c>
      <c r="G31" s="38">
        <f t="shared" si="2"/>
        <v>3349.6456107008976</v>
      </c>
      <c r="H31" s="43">
        <f t="shared" si="3"/>
        <v>289.88836911461294</v>
      </c>
      <c r="I31" s="38"/>
      <c r="J31" s="38"/>
      <c r="K31" s="38"/>
      <c r="L31" s="38"/>
      <c r="M31" s="38"/>
      <c r="N31" s="38"/>
      <c r="O31" s="38"/>
      <c r="P31" s="14"/>
    </row>
    <row r="32" spans="1:16" ht="14.25" customHeight="1">
      <c r="B32" s="27" t="s">
        <v>53</v>
      </c>
      <c r="C32" s="2" t="s">
        <v>27</v>
      </c>
      <c r="D32" s="28">
        <f>'[1]Структури 2024-2025'!$Y$51</f>
        <v>448.65352981494516</v>
      </c>
      <c r="E32" s="6">
        <f t="shared" si="4"/>
        <v>38.827820961141775</v>
      </c>
      <c r="F32" s="28">
        <f t="shared" si="1"/>
        <v>0.80297427279788591</v>
      </c>
      <c r="G32" s="38">
        <f t="shared" si="2"/>
        <v>403.78817683345068</v>
      </c>
      <c r="H32" s="43">
        <f t="shared" si="3"/>
        <v>34.945038865027598</v>
      </c>
      <c r="I32" s="38"/>
      <c r="J32" s="38"/>
      <c r="K32" s="38"/>
      <c r="L32" s="38"/>
      <c r="M32" s="38"/>
      <c r="N32" s="38"/>
      <c r="O32" s="38"/>
      <c r="P32" s="14"/>
    </row>
    <row r="33" spans="1:16" ht="15" customHeight="1">
      <c r="B33" s="26">
        <v>3</v>
      </c>
      <c r="C33" s="1" t="s">
        <v>30</v>
      </c>
      <c r="D33" s="6">
        <f>SUM(D34:D40)</f>
        <v>783.40765039722908</v>
      </c>
      <c r="E33" s="6">
        <f t="shared" si="4"/>
        <v>67.798445722156217</v>
      </c>
      <c r="F33" s="6">
        <f t="shared" si="1"/>
        <v>1.4020979365558106</v>
      </c>
      <c r="G33" s="38">
        <f t="shared" si="2"/>
        <v>705.06688535750618</v>
      </c>
      <c r="H33" s="43">
        <f t="shared" si="3"/>
        <v>61.018601149940594</v>
      </c>
      <c r="I33" s="38"/>
      <c r="J33" s="38"/>
      <c r="K33" s="38"/>
      <c r="L33" s="38"/>
      <c r="M33" s="38"/>
      <c r="N33" s="38"/>
      <c r="O33" s="38"/>
      <c r="P33" s="14"/>
    </row>
    <row r="34" spans="1:16" ht="15" customHeight="1">
      <c r="B34" s="27" t="s">
        <v>13</v>
      </c>
      <c r="C34" s="2" t="s">
        <v>23</v>
      </c>
      <c r="D34" s="28">
        <f>'[2]Структури 2024-2025'!$AH$25</f>
        <v>533.55657141924678</v>
      </c>
      <c r="E34" s="6">
        <f t="shared" si="4"/>
        <v>46.175584612589994</v>
      </c>
      <c r="F34" s="28">
        <f t="shared" si="1"/>
        <v>0.9549288514649984</v>
      </c>
      <c r="G34" s="38">
        <f t="shared" si="2"/>
        <v>480.20091427732211</v>
      </c>
      <c r="H34" s="43">
        <f t="shared" si="3"/>
        <v>41.558026151330992</v>
      </c>
      <c r="I34" s="38"/>
      <c r="J34" s="38"/>
      <c r="K34" s="38"/>
      <c r="L34" s="38"/>
      <c r="M34" s="38"/>
      <c r="N34" s="38"/>
      <c r="O34" s="38"/>
      <c r="P34" s="14"/>
    </row>
    <row r="35" spans="1:16" ht="27.75" customHeight="1">
      <c r="B35" s="27" t="s">
        <v>14</v>
      </c>
      <c r="C35" s="2" t="s">
        <v>24</v>
      </c>
      <c r="D35" s="28">
        <f>'[2]Структури 2024-2025'!$AH$27</f>
        <v>117.38244571223429</v>
      </c>
      <c r="E35" s="6">
        <f t="shared" si="4"/>
        <v>10.158628614769798</v>
      </c>
      <c r="F35" s="28">
        <f t="shared" si="1"/>
        <v>0.21008434732229961</v>
      </c>
      <c r="G35" s="38">
        <f t="shared" si="2"/>
        <v>105.64420114101085</v>
      </c>
      <c r="H35" s="43">
        <f t="shared" si="3"/>
        <v>9.142765753292819</v>
      </c>
      <c r="I35" s="38"/>
      <c r="J35" s="38"/>
      <c r="K35" s="38"/>
      <c r="L35" s="38"/>
      <c r="M35" s="38"/>
      <c r="N35" s="38"/>
      <c r="O35" s="38"/>
      <c r="P35" s="14"/>
    </row>
    <row r="36" spans="1:16" ht="18" customHeight="1">
      <c r="B36" s="27" t="s">
        <v>15</v>
      </c>
      <c r="C36" s="2" t="s">
        <v>25</v>
      </c>
      <c r="D36" s="28">
        <f>'[2]Структури 2024-2025'!$AH$28</f>
        <v>0</v>
      </c>
      <c r="E36" s="6">
        <f t="shared" si="4"/>
        <v>0</v>
      </c>
      <c r="F36" s="28">
        <f t="shared" si="1"/>
        <v>0</v>
      </c>
      <c r="G36" s="38">
        <f t="shared" si="2"/>
        <v>0</v>
      </c>
      <c r="H36" s="43">
        <f t="shared" si="3"/>
        <v>0</v>
      </c>
      <c r="I36" s="38"/>
      <c r="J36" s="38"/>
      <c r="K36" s="38"/>
      <c r="L36" s="38"/>
      <c r="M36" s="38"/>
      <c r="N36" s="38"/>
      <c r="O36" s="38"/>
      <c r="P36" s="14"/>
    </row>
    <row r="37" spans="1:16" ht="24.75" customHeight="1">
      <c r="B37" s="27" t="s">
        <v>37</v>
      </c>
      <c r="C37" s="2" t="s">
        <v>26</v>
      </c>
      <c r="D37" s="28">
        <f>'[2]Структури 2024-2025'!$AH$30</f>
        <v>13.270955146339958</v>
      </c>
      <c r="E37" s="6">
        <f t="shared" si="4"/>
        <v>1.1485082277586625</v>
      </c>
      <c r="F37" s="28">
        <f t="shared" si="1"/>
        <v>2.3751591929659033E-2</v>
      </c>
      <c r="G37" s="38">
        <f t="shared" si="2"/>
        <v>11.943859631705962</v>
      </c>
      <c r="H37" s="43">
        <f t="shared" si="3"/>
        <v>1.0336574049827962</v>
      </c>
      <c r="I37" s="38"/>
      <c r="J37" s="38"/>
      <c r="K37" s="38"/>
      <c r="L37" s="38"/>
      <c r="M37" s="38"/>
      <c r="N37" s="38"/>
      <c r="O37" s="38"/>
      <c r="P37" s="14"/>
    </row>
    <row r="38" spans="1:16">
      <c r="B38" s="27" t="s">
        <v>40</v>
      </c>
      <c r="C38" s="2" t="s">
        <v>41</v>
      </c>
      <c r="D38" s="28">
        <f>'[1]Структури 2024-2025'!$AH$31</f>
        <v>37.428861280122405</v>
      </c>
      <c r="E38" s="6">
        <f t="shared" si="4"/>
        <v>3.2392058191616928</v>
      </c>
      <c r="F38" s="28">
        <f t="shared" si="1"/>
        <v>6.6988022317478912E-2</v>
      </c>
      <c r="G38" s="38">
        <f t="shared" si="2"/>
        <v>33.685975152110167</v>
      </c>
      <c r="H38" s="43">
        <f t="shared" si="3"/>
        <v>2.9152852372455236</v>
      </c>
      <c r="I38" s="38"/>
      <c r="J38" s="38"/>
      <c r="K38" s="38"/>
      <c r="L38" s="38"/>
      <c r="M38" s="38"/>
      <c r="N38" s="38"/>
      <c r="O38" s="38"/>
      <c r="P38" s="14"/>
    </row>
    <row r="39" spans="1:16">
      <c r="B39" s="27" t="s">
        <v>46</v>
      </c>
      <c r="C39" s="2" t="s">
        <v>42</v>
      </c>
      <c r="D39" s="28">
        <f>'[1]Структури 2024-2025'!$AH$37</f>
        <v>52.362754889822746</v>
      </c>
      <c r="E39" s="6">
        <f t="shared" si="4"/>
        <v>4.5316297249077451</v>
      </c>
      <c r="F39" s="28">
        <f t="shared" si="1"/>
        <v>9.3715845825824526E-2</v>
      </c>
      <c r="G39" s="38">
        <f t="shared" si="2"/>
        <v>47.126479400840473</v>
      </c>
      <c r="H39" s="43">
        <f t="shared" si="3"/>
        <v>4.0784667524169711</v>
      </c>
      <c r="I39" s="38"/>
      <c r="J39" s="38"/>
      <c r="K39" s="38"/>
      <c r="L39" s="38"/>
      <c r="M39" s="38"/>
      <c r="N39" s="38"/>
      <c r="O39" s="38"/>
      <c r="P39" s="14"/>
    </row>
    <row r="40" spans="1:16" ht="27.75" customHeight="1">
      <c r="B40" s="27" t="s">
        <v>47</v>
      </c>
      <c r="C40" s="2" t="s">
        <v>27</v>
      </c>
      <c r="D40" s="28">
        <f>'[1]Структури 2024-2025'!$AH$51</f>
        <v>29.406061949462881</v>
      </c>
      <c r="E40" s="6">
        <f t="shared" si="4"/>
        <v>2.5448887229683281</v>
      </c>
      <c r="F40" s="28">
        <f t="shared" si="1"/>
        <v>5.2629277695550161E-2</v>
      </c>
      <c r="G40" s="38">
        <f t="shared" si="2"/>
        <v>26.465455754516594</v>
      </c>
      <c r="H40" s="43">
        <f t="shared" si="3"/>
        <v>2.2903998506714953</v>
      </c>
      <c r="I40" s="38"/>
      <c r="J40" s="38"/>
      <c r="K40" s="38"/>
      <c r="L40" s="38"/>
      <c r="M40" s="38"/>
      <c r="N40" s="38"/>
      <c r="O40" s="38"/>
      <c r="P40" s="14"/>
    </row>
    <row r="41" spans="1:16" ht="27">
      <c r="B41" s="26">
        <v>4</v>
      </c>
      <c r="C41" s="3" t="s">
        <v>12</v>
      </c>
      <c r="D41" s="6">
        <f>D8+D23+D33</f>
        <v>50065.575486421687</v>
      </c>
      <c r="E41" s="6">
        <f>E33+E23+E8</f>
        <v>4029.5783078619788</v>
      </c>
      <c r="F41" s="6">
        <f t="shared" si="1"/>
        <v>83.333229404652656</v>
      </c>
      <c r="G41" s="38">
        <f t="shared" si="2"/>
        <v>45059.017937779521</v>
      </c>
      <c r="H41" s="43">
        <f t="shared" si="3"/>
        <v>3626.6204770757809</v>
      </c>
      <c r="I41" s="38">
        <f>G41/D46*1000</f>
        <v>3899.5424417915715</v>
      </c>
      <c r="J41" s="38"/>
      <c r="K41" s="38"/>
      <c r="L41" s="38"/>
      <c r="M41" s="38"/>
      <c r="N41" s="38"/>
      <c r="O41" s="38"/>
      <c r="P41" s="14"/>
    </row>
    <row r="42" spans="1:16">
      <c r="B42" s="26">
        <v>5</v>
      </c>
      <c r="C42" s="3" t="s">
        <v>31</v>
      </c>
      <c r="D42" s="6" t="s">
        <v>77</v>
      </c>
      <c r="E42" s="6">
        <f>E41</f>
        <v>4029.5783078619788</v>
      </c>
      <c r="F42" s="6" t="s">
        <v>77</v>
      </c>
      <c r="G42" s="38" t="e">
        <f t="shared" si="2"/>
        <v>#VALUE!</v>
      </c>
      <c r="H42" s="43">
        <v>3514.53</v>
      </c>
      <c r="I42" s="38"/>
      <c r="J42" s="38"/>
      <c r="K42" s="38"/>
      <c r="L42" s="44">
        <f>E41-E22-E40-E32</f>
        <v>3878.3236841789981</v>
      </c>
      <c r="M42" s="38"/>
      <c r="N42" s="38"/>
      <c r="O42" s="38"/>
      <c r="P42" s="14"/>
    </row>
    <row r="43" spans="1:16" s="23" customFormat="1">
      <c r="B43" s="26">
        <v>6</v>
      </c>
      <c r="C43" s="5" t="s">
        <v>75</v>
      </c>
      <c r="D43" s="6" t="s">
        <v>77</v>
      </c>
      <c r="E43" s="6">
        <f>E42*20%</f>
        <v>805.91566157239583</v>
      </c>
      <c r="F43" s="6">
        <f t="shared" si="1"/>
        <v>16.666645880930531</v>
      </c>
      <c r="G43" s="38"/>
      <c r="H43" s="43">
        <f t="shared" si="3"/>
        <v>725.32409541515631</v>
      </c>
      <c r="I43" s="38"/>
      <c r="J43" s="38"/>
      <c r="K43" s="38"/>
      <c r="L43" s="44"/>
      <c r="M43" s="38"/>
      <c r="N43" s="38"/>
      <c r="O43" s="38"/>
      <c r="P43" s="14"/>
    </row>
    <row r="44" spans="1:16" s="23" customFormat="1">
      <c r="B44" s="26">
        <v>7</v>
      </c>
      <c r="C44" s="5" t="s">
        <v>73</v>
      </c>
      <c r="D44" s="6" t="s">
        <v>77</v>
      </c>
      <c r="E44" s="6">
        <v>4835.5</v>
      </c>
      <c r="F44" s="6">
        <f t="shared" si="1"/>
        <v>100</v>
      </c>
      <c r="G44" s="38"/>
      <c r="H44" s="43">
        <f t="shared" si="3"/>
        <v>4351.95</v>
      </c>
      <c r="I44" s="38"/>
      <c r="J44" s="38"/>
      <c r="K44" s="38"/>
      <c r="L44" s="44"/>
      <c r="M44" s="38"/>
      <c r="N44" s="38"/>
      <c r="O44" s="38"/>
      <c r="P44" s="14"/>
    </row>
    <row r="45" spans="1:16" s="19" customFormat="1">
      <c r="A45" s="23"/>
      <c r="B45" s="26">
        <v>8</v>
      </c>
      <c r="C45" s="3" t="s">
        <v>52</v>
      </c>
      <c r="D45" s="6">
        <f>'[2]Структури 2024-2025'!$AH$56</f>
        <v>12751.93</v>
      </c>
      <c r="E45" s="6" t="s">
        <v>77</v>
      </c>
      <c r="F45" s="6" t="s">
        <v>77</v>
      </c>
      <c r="G45" s="38"/>
      <c r="H45" s="43"/>
      <c r="I45" s="38"/>
      <c r="J45" s="38"/>
      <c r="K45" s="38"/>
      <c r="L45" s="44"/>
      <c r="M45" s="38"/>
      <c r="N45" s="38"/>
      <c r="O45" s="38"/>
      <c r="P45" s="14"/>
    </row>
    <row r="46" spans="1:16">
      <c r="B46" s="26">
        <v>9</v>
      </c>
      <c r="C46" s="3" t="s">
        <v>32</v>
      </c>
      <c r="D46" s="6">
        <f>'[2]Структури 2024-2025'!$AH$58</f>
        <v>11554.95</v>
      </c>
      <c r="E46" s="6" t="s">
        <v>77</v>
      </c>
      <c r="F46" s="6" t="s">
        <v>77</v>
      </c>
      <c r="G46" s="38"/>
      <c r="H46" s="38"/>
      <c r="I46" s="38"/>
      <c r="J46" s="38"/>
      <c r="K46" s="38"/>
      <c r="L46" s="38">
        <f>L42*1.6%</f>
        <v>62.053178946863973</v>
      </c>
      <c r="M46" s="38"/>
      <c r="N46" s="38"/>
      <c r="O46" s="38"/>
      <c r="P46" s="14"/>
    </row>
    <row r="47" spans="1:16">
      <c r="B47" s="26">
        <v>10</v>
      </c>
      <c r="C47" s="5" t="s">
        <v>39</v>
      </c>
      <c r="D47" s="41" t="s">
        <v>77</v>
      </c>
      <c r="E47" s="30">
        <f>(D22+D32+D40)/D41*100</f>
        <v>3.753609239653513</v>
      </c>
      <c r="F47" s="41" t="s">
        <v>77</v>
      </c>
      <c r="G47" s="38"/>
      <c r="H47" s="38"/>
      <c r="I47" s="38"/>
      <c r="J47" s="38"/>
      <c r="K47" s="38"/>
      <c r="L47" s="44">
        <f>L42+L46</f>
        <v>3940.3768631258622</v>
      </c>
      <c r="M47" s="38"/>
      <c r="N47" s="38"/>
      <c r="O47" s="38"/>
      <c r="P47" s="14"/>
    </row>
    <row r="48" spans="1:16" s="23" customFormat="1" ht="15.75">
      <c r="B48" s="31"/>
      <c r="C48" s="4"/>
      <c r="D48" s="32"/>
      <c r="E48" s="33"/>
      <c r="F48" s="32"/>
      <c r="H48" s="38"/>
      <c r="I48" s="38"/>
      <c r="J48" s="38"/>
      <c r="K48" s="38"/>
      <c r="L48" s="38"/>
      <c r="M48" s="38"/>
      <c r="N48" s="38"/>
      <c r="O48" s="38"/>
    </row>
    <row r="49" spans="2:15" ht="20.25" customHeight="1">
      <c r="B49" s="17"/>
      <c r="C49" s="11" t="str">
        <f>'Структура нас.общ.'!B49</f>
        <v>Директор КПТМ м. Берестин</v>
      </c>
      <c r="D49" s="12"/>
      <c r="E49" s="16" t="s">
        <v>51</v>
      </c>
      <c r="F49" s="16"/>
      <c r="H49" s="38"/>
      <c r="I49" s="38"/>
      <c r="J49" s="38"/>
      <c r="K49" s="38"/>
      <c r="L49" s="38"/>
      <c r="M49" s="38"/>
      <c r="N49" s="38"/>
      <c r="O49" s="38"/>
    </row>
    <row r="50" spans="2:15" s="23" customFormat="1" ht="20.25" customHeight="1">
      <c r="B50" s="17"/>
      <c r="C50" s="11"/>
      <c r="D50" s="12"/>
      <c r="E50" s="16"/>
      <c r="F50" s="16"/>
      <c r="H50" s="38"/>
      <c r="I50" s="38"/>
      <c r="J50" s="38"/>
      <c r="K50" s="38"/>
      <c r="L50" s="38"/>
      <c r="M50" s="38"/>
      <c r="N50" s="38"/>
      <c r="O50" s="38"/>
    </row>
    <row r="51" spans="2:15" ht="15.75">
      <c r="B51" s="17"/>
      <c r="C51" s="12" t="s">
        <v>38</v>
      </c>
      <c r="D51" s="12"/>
      <c r="E51" s="12" t="str">
        <f>'Структура нас.общ.'!D51</f>
        <v>Ірина МИРОНОВА</v>
      </c>
      <c r="F51" s="12"/>
      <c r="H51" s="38"/>
      <c r="I51" s="38"/>
      <c r="J51" s="38"/>
      <c r="K51" s="38"/>
      <c r="L51" s="38"/>
      <c r="M51" s="38"/>
      <c r="N51" s="38"/>
      <c r="O51" s="38"/>
    </row>
    <row r="52" spans="2:15">
      <c r="H52" s="10"/>
      <c r="I52" s="10"/>
      <c r="J52" s="10"/>
      <c r="K52" s="10"/>
      <c r="L52" s="10"/>
      <c r="M52" s="10"/>
      <c r="N52" s="10"/>
    </row>
  </sheetData>
  <mergeCells count="6">
    <mergeCell ref="B2:F2"/>
    <mergeCell ref="B5:B6"/>
    <mergeCell ref="C5:C6"/>
    <mergeCell ref="D5:E5"/>
    <mergeCell ref="F5:F6"/>
    <mergeCell ref="B3:E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0"/>
  <sheetViews>
    <sheetView view="pageBreakPreview" topLeftCell="A25" zoomScale="60" zoomScaleNormal="106" workbookViewId="0">
      <selection activeCell="D42" sqref="D42"/>
    </sheetView>
  </sheetViews>
  <sheetFormatPr defaultRowHeight="15"/>
  <cols>
    <col min="1" max="1" width="4.28515625" customWidth="1"/>
    <col min="2" max="2" width="43.140625" customWidth="1"/>
    <col min="3" max="3" width="12" customWidth="1"/>
    <col min="4" max="4" width="13.7109375" customWidth="1"/>
    <col min="5" max="5" width="12.85546875" customWidth="1"/>
  </cols>
  <sheetData>
    <row r="1" spans="1:8">
      <c r="A1" s="17"/>
      <c r="B1" s="17"/>
      <c r="C1" s="17"/>
      <c r="D1" s="17"/>
      <c r="E1" s="17" t="s">
        <v>59</v>
      </c>
    </row>
    <row r="2" spans="1:8" ht="57" customHeight="1">
      <c r="A2" s="45" t="s">
        <v>82</v>
      </c>
      <c r="B2" s="46"/>
      <c r="C2" s="46"/>
      <c r="D2" s="46"/>
      <c r="E2" s="46"/>
    </row>
    <row r="3" spans="1:8">
      <c r="A3" s="17"/>
      <c r="B3" s="17"/>
      <c r="C3" s="17"/>
      <c r="D3" s="17"/>
      <c r="E3" s="17"/>
    </row>
    <row r="4" spans="1:8" ht="30" customHeight="1">
      <c r="A4" s="49" t="s">
        <v>0</v>
      </c>
      <c r="B4" s="49" t="s">
        <v>18</v>
      </c>
      <c r="C4" s="49" t="s">
        <v>48</v>
      </c>
      <c r="D4" s="49"/>
      <c r="E4" s="49" t="s">
        <v>19</v>
      </c>
    </row>
    <row r="5" spans="1:8">
      <c r="A5" s="49"/>
      <c r="B5" s="49"/>
      <c r="C5" s="24" t="s">
        <v>20</v>
      </c>
      <c r="D5" s="24" t="s">
        <v>10</v>
      </c>
      <c r="E5" s="49"/>
    </row>
    <row r="6" spans="1:8">
      <c r="A6" s="25">
        <v>1</v>
      </c>
      <c r="B6" s="25">
        <v>2</v>
      </c>
      <c r="C6" s="25">
        <v>3</v>
      </c>
      <c r="D6" s="25">
        <v>4</v>
      </c>
      <c r="E6" s="25">
        <v>5</v>
      </c>
    </row>
    <row r="7" spans="1:8" ht="16.5" customHeight="1">
      <c r="A7" s="26">
        <v>1</v>
      </c>
      <c r="B7" s="1" t="s">
        <v>21</v>
      </c>
      <c r="C7" s="6">
        <f>SUM(C8:C21)</f>
        <v>6647.9994435099607</v>
      </c>
      <c r="D7" s="6">
        <f t="shared" ref="D7:D21" si="0">C7/C$44*1000</f>
        <v>2889.4533827904352</v>
      </c>
      <c r="E7" s="6">
        <f>D7/D$43*100</f>
        <v>60.400224120988824</v>
      </c>
    </row>
    <row r="8" spans="1:8" ht="15.75" customHeight="1">
      <c r="A8" s="27" t="s">
        <v>1</v>
      </c>
      <c r="B8" s="39" t="s">
        <v>72</v>
      </c>
      <c r="C8" s="28">
        <f>'[1]Структури 2024-2025'!$R$18</f>
        <v>4384.577796865</v>
      </c>
      <c r="D8" s="6">
        <f t="shared" si="0"/>
        <v>1905.6910661488425</v>
      </c>
      <c r="E8" s="6">
        <f t="shared" ref="E8:E43" si="1">D8/D$43*100</f>
        <v>39.835966271792394</v>
      </c>
      <c r="F8" s="8"/>
    </row>
    <row r="9" spans="1:8" s="20" customFormat="1" ht="15.75" customHeight="1">
      <c r="A9" s="27" t="s">
        <v>2</v>
      </c>
      <c r="B9" s="39" t="s">
        <v>67</v>
      </c>
      <c r="C9" s="28">
        <f>'[2]Структури 2024-2025'!$R$19</f>
        <v>345.4984867</v>
      </c>
      <c r="D9" s="6">
        <f t="shared" si="0"/>
        <v>150.16574228490239</v>
      </c>
      <c r="E9" s="6">
        <f t="shared" si="1"/>
        <v>3.1390174153090253</v>
      </c>
      <c r="F9" s="8"/>
    </row>
    <row r="10" spans="1:8" s="20" customFormat="1" ht="15.75" customHeight="1">
      <c r="A10" s="27" t="s">
        <v>3</v>
      </c>
      <c r="B10" s="39" t="s">
        <v>68</v>
      </c>
      <c r="C10" s="28">
        <f>'[2]Структури 2024-2025'!$R$20</f>
        <v>16.839983159999999</v>
      </c>
      <c r="D10" s="6">
        <f t="shared" si="0"/>
        <v>7.3192464471846739</v>
      </c>
      <c r="E10" s="6">
        <f t="shared" si="1"/>
        <v>0.15299922415767478</v>
      </c>
      <c r="F10" s="8"/>
    </row>
    <row r="11" spans="1:8" ht="15" customHeight="1">
      <c r="A11" s="27" t="s">
        <v>4</v>
      </c>
      <c r="B11" s="2" t="s">
        <v>22</v>
      </c>
      <c r="C11" s="28">
        <f>'[1]Структури 2024-2025'!$R$21</f>
        <v>233.86971952053642</v>
      </c>
      <c r="D11" s="6">
        <f t="shared" si="0"/>
        <v>101.64797063281399</v>
      </c>
      <c r="E11" s="6">
        <f t="shared" si="1"/>
        <v>2.1248171866114309</v>
      </c>
      <c r="H11" s="13">
        <f>C12+C22+C28</f>
        <v>3008.4715680635181</v>
      </c>
    </row>
    <row r="12" spans="1:8" ht="14.25" customHeight="1">
      <c r="A12" s="27" t="s">
        <v>5</v>
      </c>
      <c r="B12" s="2" t="s">
        <v>23</v>
      </c>
      <c r="C12" s="28">
        <f>'[2]Структури 2024-2025'!$R$25</f>
        <v>793.86313950582371</v>
      </c>
      <c r="D12" s="6">
        <f t="shared" si="0"/>
        <v>345.0407229135775</v>
      </c>
      <c r="E12" s="6">
        <f t="shared" si="1"/>
        <v>7.2126226776919742</v>
      </c>
      <c r="G12" s="8"/>
      <c r="H12" s="13">
        <f>C13+C23+C29</f>
        <v>550.36821066374148</v>
      </c>
    </row>
    <row r="13" spans="1:8" ht="13.5" customHeight="1">
      <c r="A13" s="27" t="s">
        <v>6</v>
      </c>
      <c r="B13" s="2" t="s">
        <v>24</v>
      </c>
      <c r="C13" s="28">
        <f>'[2]Структури 2024-2025'!$R$27</f>
        <v>174.6498906912812</v>
      </c>
      <c r="D13" s="6">
        <f t="shared" si="0"/>
        <v>75.908959040987042</v>
      </c>
      <c r="E13" s="6">
        <f t="shared" si="1"/>
        <v>1.5867769890922343</v>
      </c>
      <c r="H13" s="13">
        <f>C19+C26+C32</f>
        <v>167.59590366427662</v>
      </c>
    </row>
    <row r="14" spans="1:8" ht="14.25" customHeight="1">
      <c r="A14" s="27" t="s">
        <v>7</v>
      </c>
      <c r="B14" s="2" t="s">
        <v>25</v>
      </c>
      <c r="C14" s="28">
        <f>'[2]Структури 2024-2025'!$R$28</f>
        <v>58.190020486665581</v>
      </c>
      <c r="D14" s="6">
        <f t="shared" si="0"/>
        <v>25.29142082043688</v>
      </c>
      <c r="E14" s="6">
        <f t="shared" si="1"/>
        <v>0.52868390090355855</v>
      </c>
    </row>
    <row r="15" spans="1:8" ht="15" customHeight="1">
      <c r="A15" s="27" t="s">
        <v>8</v>
      </c>
      <c r="B15" s="2" t="s">
        <v>74</v>
      </c>
      <c r="C15" s="28">
        <f>'[1]Структури 2024-2025'!$R$22</f>
        <v>38.049025230451242</v>
      </c>
      <c r="D15" s="6">
        <f t="shared" si="0"/>
        <v>16.537438908984058</v>
      </c>
      <c r="E15" s="6">
        <f t="shared" si="1"/>
        <v>0.3456934181527313</v>
      </c>
    </row>
    <row r="16" spans="1:8" ht="15" customHeight="1">
      <c r="A16" s="27" t="s">
        <v>9</v>
      </c>
      <c r="B16" s="2" t="s">
        <v>41</v>
      </c>
      <c r="C16" s="28">
        <f>'[1]Структури 2024-2025'!$R$31</f>
        <v>300.13859582343417</v>
      </c>
      <c r="D16" s="6">
        <f t="shared" si="0"/>
        <v>130.45074512673489</v>
      </c>
      <c r="E16" s="6">
        <f t="shared" si="1"/>
        <v>2.7269013195829919</v>
      </c>
    </row>
    <row r="17" spans="1:5" ht="16.5" customHeight="1">
      <c r="A17" s="27" t="s">
        <v>43</v>
      </c>
      <c r="B17" s="2" t="s">
        <v>42</v>
      </c>
      <c r="C17" s="28">
        <f>'[1]Структури 2024-2025'!$R$37</f>
        <v>398.78708522809592</v>
      </c>
      <c r="D17" s="6">
        <f t="shared" si="0"/>
        <v>173.32683346572139</v>
      </c>
      <c r="E17" s="6">
        <f t="shared" si="1"/>
        <v>3.6231695759011195</v>
      </c>
    </row>
    <row r="18" spans="1:5" s="20" customFormat="1" ht="16.5" customHeight="1">
      <c r="A18" s="27" t="s">
        <v>54</v>
      </c>
      <c r="B18" s="2" t="s">
        <v>29</v>
      </c>
      <c r="C18" s="28">
        <f>'[2]Структури 2024-2025'!$R$24</f>
        <v>305.3268978778666</v>
      </c>
      <c r="D18" s="6">
        <f t="shared" si="0"/>
        <v>132.70576290306059</v>
      </c>
      <c r="E18" s="6">
        <f t="shared" si="1"/>
        <v>2.7740395014613064</v>
      </c>
    </row>
    <row r="19" spans="1:5" ht="13.5" customHeight="1">
      <c r="A19" s="27" t="s">
        <v>64</v>
      </c>
      <c r="B19" s="2" t="s">
        <v>79</v>
      </c>
      <c r="C19" s="28">
        <f>'[2]Структури 2024-2025'!$R$23</f>
        <v>10.032620756071404</v>
      </c>
      <c r="D19" s="6">
        <f t="shared" si="0"/>
        <v>4.3605283406249464</v>
      </c>
      <c r="E19" s="6">
        <f t="shared" si="1"/>
        <v>9.1151112050584099E-2</v>
      </c>
    </row>
    <row r="20" spans="1:5" s="19" customFormat="1" ht="13.5" customHeight="1">
      <c r="A20" s="27" t="s">
        <v>65</v>
      </c>
      <c r="B20" s="2" t="str">
        <f>'Структура БО'!C21</f>
        <v>витрати на покриття втрат</v>
      </c>
      <c r="C20" s="28">
        <f>'[1]Структури 2024-2025'!$R$49</f>
        <v>-661.36373969896954</v>
      </c>
      <c r="D20" s="6">
        <f t="shared" si="0"/>
        <v>-287.45184339533819</v>
      </c>
      <c r="E20" s="6">
        <f t="shared" si="1"/>
        <v>-6.0088028650950687</v>
      </c>
    </row>
    <row r="21" spans="1:5" ht="13.5" customHeight="1">
      <c r="A21" s="27" t="s">
        <v>66</v>
      </c>
      <c r="B21" s="2" t="s">
        <v>27</v>
      </c>
      <c r="C21" s="28">
        <f>'[1]Структури 2024-2025'!$R$51</f>
        <v>249.53992136370405</v>
      </c>
      <c r="D21" s="6">
        <f t="shared" si="0"/>
        <v>108.45878915190279</v>
      </c>
      <c r="E21" s="6">
        <f t="shared" si="1"/>
        <v>2.2671883933768666</v>
      </c>
    </row>
    <row r="22" spans="1:5" ht="12.75" customHeight="1">
      <c r="A22" s="26">
        <v>2</v>
      </c>
      <c r="B22" s="1" t="s">
        <v>28</v>
      </c>
      <c r="C22" s="6">
        <f>SUM(C23:C31)</f>
        <v>2146.312579732733</v>
      </c>
      <c r="D22" s="6">
        <f t="shared" ref="D22:D39" si="2">C22/C$45*1000</f>
        <v>1029.2860594408774</v>
      </c>
      <c r="E22" s="6">
        <f t="shared" si="1"/>
        <v>21.515871841060736</v>
      </c>
    </row>
    <row r="23" spans="1:5" ht="13.5" customHeight="1">
      <c r="A23" s="27" t="s">
        <v>16</v>
      </c>
      <c r="B23" s="2" t="s">
        <v>22</v>
      </c>
      <c r="C23" s="28">
        <f>'[1]Структури 2024-2025'!$Z$21</f>
        <v>286.69357727554927</v>
      </c>
      <c r="D23" s="6">
        <f t="shared" si="2"/>
        <v>137.486825175159</v>
      </c>
      <c r="E23" s="6">
        <f t="shared" si="1"/>
        <v>2.8739813224614661</v>
      </c>
    </row>
    <row r="24" spans="1:5" ht="14.25" customHeight="1">
      <c r="A24" s="27" t="s">
        <v>17</v>
      </c>
      <c r="B24" s="2" t="s">
        <v>23</v>
      </c>
      <c r="C24" s="28">
        <f>'[2]Структури 2024-2025'!$Z$25</f>
        <v>424.93992618197728</v>
      </c>
      <c r="D24" s="6">
        <f t="shared" si="2"/>
        <v>203.78426993770381</v>
      </c>
      <c r="E24" s="6">
        <f t="shared" si="1"/>
        <v>4.2598422420930637</v>
      </c>
    </row>
    <row r="25" spans="1:5" ht="13.5" customHeight="1">
      <c r="A25" s="27" t="s">
        <v>33</v>
      </c>
      <c r="B25" s="2" t="s">
        <v>24</v>
      </c>
      <c r="C25" s="28">
        <f>'[2]Структури 2024-2025'!$Z$27</f>
        <v>93.486783760034996</v>
      </c>
      <c r="D25" s="6">
        <f t="shared" si="2"/>
        <v>44.832539386294833</v>
      </c>
      <c r="E25" s="6">
        <f t="shared" si="1"/>
        <v>0.93716529326047371</v>
      </c>
    </row>
    <row r="26" spans="1:5" ht="12.75" customHeight="1">
      <c r="A26" s="27" t="s">
        <v>34</v>
      </c>
      <c r="B26" s="2" t="s">
        <v>25</v>
      </c>
      <c r="C26" s="28">
        <f>'[2]Структури 2024-2025'!$Z$28</f>
        <v>16.186980756753314</v>
      </c>
      <c r="D26" s="6">
        <f t="shared" si="2"/>
        <v>7.7626314986415554</v>
      </c>
      <c r="E26" s="6">
        <f t="shared" si="1"/>
        <v>0.16226760572748883</v>
      </c>
    </row>
    <row r="27" spans="1:5" ht="12.75" customHeight="1">
      <c r="A27" s="27" t="s">
        <v>35</v>
      </c>
      <c r="B27" s="2" t="s">
        <v>29</v>
      </c>
      <c r="C27" s="28">
        <f>'[2]Структури 2024-2025'!$Z$24</f>
        <v>425.75679323288239</v>
      </c>
      <c r="D27" s="6">
        <f t="shared" si="2"/>
        <v>204.17600685237909</v>
      </c>
      <c r="E27" s="6">
        <f t="shared" si="1"/>
        <v>4.2680309872667275</v>
      </c>
    </row>
    <row r="28" spans="1:5" ht="15" customHeight="1">
      <c r="A28" s="27" t="s">
        <v>36</v>
      </c>
      <c r="B28" s="2" t="s">
        <v>41</v>
      </c>
      <c r="C28" s="28">
        <f>'[1]Структури 2024-2025'!$Z$31</f>
        <v>68.295848824961382</v>
      </c>
      <c r="D28" s="6">
        <f t="shared" si="2"/>
        <v>32.751969949301561</v>
      </c>
      <c r="E28" s="6">
        <f t="shared" si="1"/>
        <v>0.68463687184711397</v>
      </c>
    </row>
    <row r="29" spans="1:5" ht="15" customHeight="1">
      <c r="A29" s="27" t="s">
        <v>44</v>
      </c>
      <c r="B29" s="2" t="s">
        <v>42</v>
      </c>
      <c r="C29" s="28">
        <f>'[1]Структури 2024-2025'!$Z$37</f>
        <v>89.024742696910977</v>
      </c>
      <c r="D29" s="6">
        <f t="shared" si="2"/>
        <v>42.692722145183474</v>
      </c>
      <c r="E29" s="6">
        <f t="shared" si="1"/>
        <v>0.89243522711340706</v>
      </c>
    </row>
    <row r="30" spans="1:5" s="19" customFormat="1" ht="15" customHeight="1">
      <c r="A30" s="27" t="s">
        <v>45</v>
      </c>
      <c r="B30" s="2" t="str">
        <f>'Структура БО'!C31</f>
        <v>враховані витрати на покриття втрат</v>
      </c>
      <c r="C30" s="28">
        <f>'[1]Структури 2024-2025'!$Z$46</f>
        <v>661.36373969896954</v>
      </c>
      <c r="D30" s="6">
        <f t="shared" si="2"/>
        <v>317.16371786657555</v>
      </c>
      <c r="E30" s="6">
        <f t="shared" si="1"/>
        <v>6.6298905378729271</v>
      </c>
    </row>
    <row r="31" spans="1:5" ht="15" customHeight="1">
      <c r="A31" s="27" t="s">
        <v>53</v>
      </c>
      <c r="B31" s="2" t="s">
        <v>27</v>
      </c>
      <c r="C31" s="28">
        <f>'[1]Структури 2024-2025'!$Z$51</f>
        <v>80.564187304693519</v>
      </c>
      <c r="D31" s="6">
        <f t="shared" si="2"/>
        <v>38.635376629638316</v>
      </c>
      <c r="E31" s="6">
        <f t="shared" si="1"/>
        <v>0.80762175341806408</v>
      </c>
    </row>
    <row r="32" spans="1:5" ht="13.5" customHeight="1">
      <c r="A32" s="26">
        <v>3</v>
      </c>
      <c r="B32" s="1" t="s">
        <v>30</v>
      </c>
      <c r="C32" s="6">
        <f>SUM(C33:C39)</f>
        <v>141.37630215145191</v>
      </c>
      <c r="D32" s="6">
        <f t="shared" si="2"/>
        <v>67.798445722156202</v>
      </c>
      <c r="E32" s="6">
        <f t="shared" si="1"/>
        <v>1.4172373712837758</v>
      </c>
    </row>
    <row r="33" spans="1:5" ht="13.5" customHeight="1">
      <c r="A33" s="27" t="s">
        <v>13</v>
      </c>
      <c r="B33" s="2" t="s">
        <v>23</v>
      </c>
      <c r="C33" s="28">
        <f>'[2]Структури 2024-2025'!$AI$25</f>
        <v>96.287360759895606</v>
      </c>
      <c r="D33" s="6">
        <f t="shared" si="2"/>
        <v>46.175584612589994</v>
      </c>
      <c r="E33" s="6">
        <f t="shared" si="1"/>
        <v>0.96523988797655513</v>
      </c>
    </row>
    <row r="34" spans="1:5" ht="30" customHeight="1">
      <c r="A34" s="27" t="s">
        <v>14</v>
      </c>
      <c r="B34" s="2" t="s">
        <v>24</v>
      </c>
      <c r="C34" s="28">
        <f>'[2]Структури 2024-2025'!$AI$27</f>
        <v>21.183219367177035</v>
      </c>
      <c r="D34" s="6">
        <f t="shared" si="2"/>
        <v>10.158628614769798</v>
      </c>
      <c r="E34" s="6">
        <f t="shared" si="1"/>
        <v>0.21235277535484212</v>
      </c>
    </row>
    <row r="35" spans="1:5" ht="18.75" customHeight="1">
      <c r="A35" s="27" t="s">
        <v>15</v>
      </c>
      <c r="B35" s="2" t="s">
        <v>25</v>
      </c>
      <c r="C35" s="28">
        <f>'[2]Структури 2024-2025'!$AI$28</f>
        <v>0</v>
      </c>
      <c r="D35" s="6">
        <f t="shared" si="2"/>
        <v>0</v>
      </c>
      <c r="E35" s="6">
        <f t="shared" si="1"/>
        <v>0</v>
      </c>
    </row>
    <row r="36" spans="1:5" ht="27" customHeight="1">
      <c r="A36" s="27" t="s">
        <v>37</v>
      </c>
      <c r="B36" s="2" t="s">
        <v>26</v>
      </c>
      <c r="C36" s="28">
        <f>'[2]Структури 2024-2025'!$AI$30</f>
        <v>2.3949198908843847</v>
      </c>
      <c r="D36" s="6">
        <f t="shared" si="2"/>
        <v>1.1485082277586625</v>
      </c>
      <c r="E36" s="6">
        <f t="shared" si="1"/>
        <v>2.4008054524980765E-2</v>
      </c>
    </row>
    <row r="37" spans="1:5">
      <c r="A37" s="27" t="s">
        <v>40</v>
      </c>
      <c r="B37" s="2" t="s">
        <v>41</v>
      </c>
      <c r="C37" s="28">
        <f>'[1]Структури 2024-2025'!$AI$31</f>
        <v>6.7545344991720064</v>
      </c>
      <c r="D37" s="6">
        <f t="shared" si="2"/>
        <v>3.2392058191616933</v>
      </c>
      <c r="E37" s="6">
        <f t="shared" si="1"/>
        <v>6.7711338973890395E-2</v>
      </c>
    </row>
    <row r="38" spans="1:5">
      <c r="A38" s="27" t="s">
        <v>46</v>
      </c>
      <c r="B38" s="2" t="s">
        <v>42</v>
      </c>
      <c r="C38" s="28">
        <f>'[1]Структури 2024-2025'!$AI$37</f>
        <v>9.4495536940855231</v>
      </c>
      <c r="D38" s="6">
        <f t="shared" si="2"/>
        <v>4.5316297249077442</v>
      </c>
      <c r="E38" s="6">
        <f t="shared" si="1"/>
        <v>9.472776153717731E-2</v>
      </c>
    </row>
    <row r="39" spans="1:5" ht="15.75" customHeight="1">
      <c r="A39" s="27" t="s">
        <v>47</v>
      </c>
      <c r="B39" s="2" t="s">
        <v>27</v>
      </c>
      <c r="C39" s="28">
        <f>'[1]Структури 2024-2025'!$AI$51</f>
        <v>5.3067139402373682</v>
      </c>
      <c r="D39" s="6">
        <f t="shared" si="2"/>
        <v>2.5448887229683281</v>
      </c>
      <c r="E39" s="6">
        <f t="shared" si="1"/>
        <v>5.3197552916330396E-2</v>
      </c>
    </row>
    <row r="40" spans="1:5" ht="27">
      <c r="A40" s="26">
        <v>4</v>
      </c>
      <c r="B40" s="3" t="s">
        <v>12</v>
      </c>
      <c r="C40" s="6">
        <f>C7+C22+C32</f>
        <v>8935.6883253941451</v>
      </c>
      <c r="D40" s="6">
        <f>D32+D22+D7</f>
        <v>3986.5378879534687</v>
      </c>
      <c r="E40" s="6">
        <f t="shared" si="1"/>
        <v>83.333333333333329</v>
      </c>
    </row>
    <row r="41" spans="1:5">
      <c r="A41" s="26">
        <v>5</v>
      </c>
      <c r="B41" s="3" t="s">
        <v>31</v>
      </c>
      <c r="C41" s="6" t="s">
        <v>77</v>
      </c>
      <c r="D41" s="6">
        <f>D40</f>
        <v>3986.5378879534687</v>
      </c>
      <c r="E41" s="6" t="s">
        <v>78</v>
      </c>
    </row>
    <row r="42" spans="1:5" s="23" customFormat="1">
      <c r="A42" s="26">
        <v>6</v>
      </c>
      <c r="B42" s="5" t="s">
        <v>75</v>
      </c>
      <c r="C42" s="6" t="s">
        <v>77</v>
      </c>
      <c r="D42" s="6">
        <f>D41*20%</f>
        <v>797.30757759069377</v>
      </c>
      <c r="E42" s="6">
        <f t="shared" si="1"/>
        <v>16.666666666666664</v>
      </c>
    </row>
    <row r="43" spans="1:5" s="23" customFormat="1">
      <c r="A43" s="26">
        <v>7</v>
      </c>
      <c r="B43" s="5" t="s">
        <v>73</v>
      </c>
      <c r="C43" s="6" t="s">
        <v>77</v>
      </c>
      <c r="D43" s="6">
        <f>D41+D42</f>
        <v>4783.8454655441628</v>
      </c>
      <c r="E43" s="6">
        <f t="shared" si="1"/>
        <v>100</v>
      </c>
    </row>
    <row r="44" spans="1:5" s="19" customFormat="1">
      <c r="A44" s="26">
        <v>8</v>
      </c>
      <c r="B44" s="3" t="str">
        <f>'Структура БО'!C45</f>
        <v>Відпуск з колекторів,Гкал</v>
      </c>
      <c r="C44" s="6">
        <f>'[2]Структури 2024-2025'!$AI$56</f>
        <v>2300.7809999999999</v>
      </c>
      <c r="D44" s="6" t="s">
        <v>77</v>
      </c>
      <c r="E44" s="6" t="s">
        <v>78</v>
      </c>
    </row>
    <row r="45" spans="1:5">
      <c r="A45" s="26">
        <v>9</v>
      </c>
      <c r="B45" s="3" t="s">
        <v>32</v>
      </c>
      <c r="C45" s="6">
        <f>'[2]Структури 2024-2025'!$AI$58</f>
        <v>2085.2440000000001</v>
      </c>
      <c r="D45" s="6" t="s">
        <v>77</v>
      </c>
      <c r="E45" s="6" t="s">
        <v>78</v>
      </c>
    </row>
    <row r="46" spans="1:5">
      <c r="A46" s="26">
        <v>10</v>
      </c>
      <c r="B46" s="5" t="s">
        <v>39</v>
      </c>
      <c r="C46" s="29" t="s">
        <v>78</v>
      </c>
      <c r="D46" s="30">
        <f>(C21+C31+C39)/C40*100</f>
        <v>3.753609239653513</v>
      </c>
      <c r="E46" s="29" t="s">
        <v>78</v>
      </c>
    </row>
    <row r="47" spans="1:5" s="23" customFormat="1">
      <c r="A47" s="31"/>
      <c r="B47" s="4"/>
      <c r="C47" s="9"/>
      <c r="D47" s="21"/>
      <c r="E47" s="9"/>
    </row>
    <row r="48" spans="1:5">
      <c r="B48" s="4" t="str">
        <f>'Структура нас.общ.'!B49</f>
        <v>Директор КПТМ м. Берестин</v>
      </c>
      <c r="C48" s="9"/>
      <c r="D48" s="48" t="str">
        <f>'Структура нас.общ.'!D49:E49</f>
        <v>Володимир ЦАРИК</v>
      </c>
      <c r="E48" s="48"/>
    </row>
    <row r="49" spans="2:5">
      <c r="B49" s="9"/>
      <c r="C49" s="9"/>
      <c r="D49" s="9"/>
      <c r="E49" s="9"/>
    </row>
    <row r="50" spans="2:5">
      <c r="B50" s="9" t="s">
        <v>38</v>
      </c>
      <c r="C50" s="9"/>
      <c r="D50" s="9" t="str">
        <f>'Структура нас.общ.'!D51</f>
        <v>Ірина МИРОНОВА</v>
      </c>
      <c r="E50" s="9"/>
    </row>
  </sheetData>
  <mergeCells count="6">
    <mergeCell ref="D48:E48"/>
    <mergeCell ref="A2:E2"/>
    <mergeCell ref="A4:A5"/>
    <mergeCell ref="B4:B5"/>
    <mergeCell ref="C4:D4"/>
    <mergeCell ref="E4:E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G50"/>
  <sheetViews>
    <sheetView view="pageBreakPreview" topLeftCell="A22" zoomScale="60" zoomScaleNormal="100" workbookViewId="0">
      <selection activeCell="B56" sqref="B56"/>
    </sheetView>
  </sheetViews>
  <sheetFormatPr defaultRowHeight="15"/>
  <cols>
    <col min="1" max="1" width="5.7109375" customWidth="1"/>
    <col min="2" max="2" width="45.140625" customWidth="1"/>
    <col min="3" max="3" width="12.85546875" customWidth="1"/>
    <col min="4" max="4" width="14.7109375" customWidth="1"/>
    <col min="5" max="5" width="17.28515625" customWidth="1"/>
  </cols>
  <sheetData>
    <row r="1" spans="1:7">
      <c r="A1" s="17"/>
      <c r="B1" s="17"/>
      <c r="C1" s="17"/>
      <c r="D1" s="17" t="s">
        <v>60</v>
      </c>
      <c r="E1" s="17"/>
    </row>
    <row r="2" spans="1:7" ht="56.25" customHeight="1">
      <c r="A2" s="45" t="s">
        <v>83</v>
      </c>
      <c r="B2" s="46"/>
      <c r="C2" s="46"/>
      <c r="D2" s="46"/>
      <c r="E2" s="46"/>
    </row>
    <row r="3" spans="1:7">
      <c r="A3" s="17"/>
      <c r="B3" s="17"/>
      <c r="C3" s="17"/>
      <c r="D3" s="17"/>
      <c r="E3" s="17"/>
    </row>
    <row r="4" spans="1:7" ht="65.25" customHeight="1">
      <c r="A4" s="49" t="s">
        <v>0</v>
      </c>
      <c r="B4" s="49" t="s">
        <v>18</v>
      </c>
      <c r="C4" s="49" t="s">
        <v>70</v>
      </c>
      <c r="D4" s="49"/>
      <c r="E4" s="49" t="s">
        <v>19</v>
      </c>
    </row>
    <row r="5" spans="1:7">
      <c r="A5" s="49"/>
      <c r="B5" s="49"/>
      <c r="C5" s="24" t="s">
        <v>20</v>
      </c>
      <c r="D5" s="24" t="s">
        <v>10</v>
      </c>
      <c r="E5" s="49"/>
    </row>
    <row r="6" spans="1:7">
      <c r="A6" s="25">
        <v>1</v>
      </c>
      <c r="B6" s="25">
        <v>2</v>
      </c>
      <c r="C6" s="25">
        <v>3</v>
      </c>
      <c r="D6" s="25">
        <v>4</v>
      </c>
      <c r="E6" s="25">
        <v>5</v>
      </c>
    </row>
    <row r="7" spans="1:7">
      <c r="A7" s="26">
        <v>1</v>
      </c>
      <c r="B7" s="1" t="s">
        <v>21</v>
      </c>
      <c r="C7" s="6">
        <f>SUM(C8:C21)</f>
        <v>35651.58921751022</v>
      </c>
      <c r="D7" s="6">
        <f t="shared" ref="D7:D21" si="0">C7/C$44*1000</f>
        <v>2795.7798715574991</v>
      </c>
      <c r="E7" s="6">
        <f>D7/D$43*100</f>
        <v>62.015695801058527</v>
      </c>
    </row>
    <row r="8" spans="1:7">
      <c r="A8" s="27" t="s">
        <v>1</v>
      </c>
      <c r="B8" s="39" t="s">
        <v>72</v>
      </c>
      <c r="C8" s="28">
        <f>'Структура БО'!D9</f>
        <v>22623.182276485</v>
      </c>
      <c r="D8" s="6">
        <f t="shared" si="0"/>
        <v>1774.0986875308286</v>
      </c>
      <c r="E8" s="6">
        <f t="shared" ref="E8:E43" si="1">D8/D$43*100</f>
        <v>39.352870963219637</v>
      </c>
    </row>
    <row r="9" spans="1:7" s="20" customFormat="1">
      <c r="A9" s="27" t="s">
        <v>2</v>
      </c>
      <c r="B9" s="39" t="s">
        <v>67</v>
      </c>
      <c r="C9" s="28">
        <f>'Структура БО'!D10</f>
        <v>2447.6839606000003</v>
      </c>
      <c r="D9" s="6">
        <f t="shared" si="0"/>
        <v>191.94615721698599</v>
      </c>
      <c r="E9" s="6">
        <f t="shared" si="1"/>
        <v>4.2577295220025126</v>
      </c>
    </row>
    <row r="10" spans="1:7" s="20" customFormat="1">
      <c r="A10" s="27" t="s">
        <v>3</v>
      </c>
      <c r="B10" s="39" t="s">
        <v>68</v>
      </c>
      <c r="C10" s="28">
        <f>'Структура БО'!D11</f>
        <v>1760.1958436699999</v>
      </c>
      <c r="D10" s="6">
        <f t="shared" si="0"/>
        <v>138.03368146390389</v>
      </c>
      <c r="E10" s="6">
        <f t="shared" si="1"/>
        <v>3.0618486408934791</v>
      </c>
    </row>
    <row r="11" spans="1:7">
      <c r="A11" s="27" t="s">
        <v>4</v>
      </c>
      <c r="B11" s="2" t="s">
        <v>22</v>
      </c>
      <c r="C11" s="28">
        <v>0</v>
      </c>
      <c r="D11" s="6">
        <f t="shared" si="0"/>
        <v>0</v>
      </c>
      <c r="E11" s="6">
        <f t="shared" si="1"/>
        <v>0</v>
      </c>
    </row>
    <row r="12" spans="1:7">
      <c r="A12" s="27" t="s">
        <v>5</v>
      </c>
      <c r="B12" s="2" t="s">
        <v>23</v>
      </c>
      <c r="C12" s="28">
        <f>'Структура БО'!D13</f>
        <v>4399.9351457433368</v>
      </c>
      <c r="D12" s="6">
        <f t="shared" si="0"/>
        <v>345.0407229135775</v>
      </c>
      <c r="E12" s="6">
        <f t="shared" si="1"/>
        <v>7.6536571168835197</v>
      </c>
      <c r="G12" s="10"/>
    </row>
    <row r="13" spans="1:7">
      <c r="A13" s="27" t="s">
        <v>6</v>
      </c>
      <c r="B13" s="2" t="s">
        <v>24</v>
      </c>
      <c r="C13" s="28">
        <f>'Структура БО'!D14</f>
        <v>967.98573206353399</v>
      </c>
      <c r="D13" s="6">
        <f t="shared" si="0"/>
        <v>75.908959040987042</v>
      </c>
      <c r="E13" s="6">
        <f t="shared" si="1"/>
        <v>1.6838045657143741</v>
      </c>
      <c r="G13" s="10"/>
    </row>
    <row r="14" spans="1:7">
      <c r="A14" s="27" t="s">
        <v>7</v>
      </c>
      <c r="B14" s="2" t="s">
        <v>25</v>
      </c>
      <c r="C14" s="28">
        <f>'Структура БО'!D15</f>
        <v>322.51442790275365</v>
      </c>
      <c r="D14" s="6">
        <f t="shared" si="0"/>
        <v>25.29142082043688</v>
      </c>
      <c r="E14" s="6">
        <f t="shared" si="1"/>
        <v>0.561011643274689</v>
      </c>
      <c r="G14" s="18">
        <f>SUM(D8:D21)</f>
        <v>2795.7798715574991</v>
      </c>
    </row>
    <row r="15" spans="1:7">
      <c r="A15" s="27" t="s">
        <v>8</v>
      </c>
      <c r="B15" s="2" t="s">
        <v>74</v>
      </c>
      <c r="C15" s="28">
        <v>0</v>
      </c>
      <c r="D15" s="6">
        <f t="shared" si="0"/>
        <v>0</v>
      </c>
      <c r="E15" s="6">
        <f t="shared" si="1"/>
        <v>0</v>
      </c>
      <c r="G15" s="18">
        <f>SUM(D23:D31)</f>
        <v>893.57607888253199</v>
      </c>
    </row>
    <row r="16" spans="1:7">
      <c r="A16" s="27" t="s">
        <v>9</v>
      </c>
      <c r="B16" s="2" t="s">
        <v>41</v>
      </c>
      <c r="C16" s="28">
        <f>'[1]Структури 2024-2025'!$Q$31-'[1]Структури 2024-2025'!$Q$34</f>
        <v>1531.8712389837094</v>
      </c>
      <c r="D16" s="6">
        <f t="shared" si="0"/>
        <v>120.12857967254442</v>
      </c>
      <c r="E16" s="6">
        <f t="shared" si="1"/>
        <v>2.6646795514109987</v>
      </c>
      <c r="G16" s="18">
        <f>SUM(D33:D39)</f>
        <v>67.461625396120823</v>
      </c>
    </row>
    <row r="17" spans="1:7">
      <c r="A17" s="27" t="s">
        <v>43</v>
      </c>
      <c r="B17" s="2" t="s">
        <v>42</v>
      </c>
      <c r="C17" s="28">
        <f>'[1]Структури 2024-2025'!$Q$37-'[1]Структури 2024-2025'!$Q$40-'[1]Структури 2024-2025'!$Q$41</f>
        <v>2170.982821517503</v>
      </c>
      <c r="D17" s="6">
        <f t="shared" si="0"/>
        <v>170.2473916903169</v>
      </c>
      <c r="E17" s="6">
        <f t="shared" si="1"/>
        <v>3.7764097815428501</v>
      </c>
      <c r="G17" s="18">
        <f>G14+G15+G16</f>
        <v>3756.8175758361517</v>
      </c>
    </row>
    <row r="18" spans="1:7" s="20" customFormat="1">
      <c r="A18" s="27" t="s">
        <v>54</v>
      </c>
      <c r="B18" s="2" t="s">
        <v>29</v>
      </c>
      <c r="C18" s="28">
        <f>'[2]Структури 2024-2025'!$Q$24</f>
        <v>1692.2545991364252</v>
      </c>
      <c r="D18" s="6">
        <f t="shared" si="0"/>
        <v>132.70576290306059</v>
      </c>
      <c r="E18" s="6">
        <f t="shared" si="1"/>
        <v>2.9436653103374861</v>
      </c>
      <c r="G18" s="18"/>
    </row>
    <row r="19" spans="1:7">
      <c r="A19" s="27" t="s">
        <v>64</v>
      </c>
      <c r="B19" s="2" t="s">
        <v>79</v>
      </c>
      <c r="C19" s="28">
        <f>'Структура БО'!D20</f>
        <v>55.605152162665476</v>
      </c>
      <c r="D19" s="6">
        <f t="shared" si="0"/>
        <v>4.3605283406249464</v>
      </c>
      <c r="E19" s="6">
        <f t="shared" si="1"/>
        <v>9.672478218159658E-2</v>
      </c>
      <c r="G19" s="10">
        <f>G17*1.2</f>
        <v>4508.1810910033819</v>
      </c>
    </row>
    <row r="20" spans="1:7" s="19" customFormat="1">
      <c r="A20" s="27" t="s">
        <v>65</v>
      </c>
      <c r="B20" s="2" t="str">
        <f>'Структура БО'!C31</f>
        <v>враховані витрати на покриття втрат</v>
      </c>
      <c r="C20" s="28">
        <f>'Структура БО'!D21</f>
        <v>-3721.8284563343304</v>
      </c>
      <c r="D20" s="6">
        <f t="shared" si="0"/>
        <v>-291.8639340346387</v>
      </c>
      <c r="E20" s="6">
        <f t="shared" si="1"/>
        <v>-6.4740951648346217</v>
      </c>
      <c r="G20" s="10"/>
    </row>
    <row r="21" spans="1:7">
      <c r="A21" s="27" t="s">
        <v>66</v>
      </c>
      <c r="B21" s="2" t="s">
        <v>27</v>
      </c>
      <c r="C21" s="28">
        <f>'Структура БО'!D22</f>
        <v>1401.2064755796207</v>
      </c>
      <c r="D21" s="6">
        <f t="shared" si="0"/>
        <v>109.88191399887081</v>
      </c>
      <c r="E21" s="6">
        <f t="shared" si="1"/>
        <v>2.4373890884319929</v>
      </c>
    </row>
    <row r="22" spans="1:7">
      <c r="A22" s="26">
        <v>2</v>
      </c>
      <c r="B22" s="1" t="s">
        <v>28</v>
      </c>
      <c r="C22" s="6">
        <f>SUM(C23:C31)</f>
        <v>10325.226912683715</v>
      </c>
      <c r="D22" s="6">
        <f t="shared" ref="D22:D39" si="2">C22/C$45*1000</f>
        <v>893.5760788825321</v>
      </c>
      <c r="E22" s="6">
        <f t="shared" si="1"/>
        <v>19.821210835247292</v>
      </c>
    </row>
    <row r="23" spans="1:7">
      <c r="A23" s="27" t="s">
        <v>16</v>
      </c>
      <c r="B23" s="2" t="s">
        <v>22</v>
      </c>
      <c r="C23" s="28">
        <v>0</v>
      </c>
      <c r="D23" s="6">
        <f t="shared" si="2"/>
        <v>0</v>
      </c>
      <c r="E23" s="6">
        <f t="shared" si="1"/>
        <v>0</v>
      </c>
    </row>
    <row r="24" spans="1:7">
      <c r="A24" s="27" t="s">
        <v>17</v>
      </c>
      <c r="B24" s="2" t="s">
        <v>23</v>
      </c>
      <c r="C24" s="28">
        <f>'Структура БО'!D25</f>
        <v>2354.7170499166709</v>
      </c>
      <c r="D24" s="6">
        <f t="shared" si="2"/>
        <v>203.78426993770381</v>
      </c>
      <c r="E24" s="6">
        <f t="shared" si="1"/>
        <v>4.5203212964177464</v>
      </c>
    </row>
    <row r="25" spans="1:7">
      <c r="A25" s="27" t="s">
        <v>33</v>
      </c>
      <c r="B25" s="2" t="s">
        <v>24</v>
      </c>
      <c r="C25" s="28">
        <f>'Структура БО'!D26</f>
        <v>518.0377509816675</v>
      </c>
      <c r="D25" s="6">
        <f t="shared" si="2"/>
        <v>44.832539386294833</v>
      </c>
      <c r="E25" s="6">
        <f t="shared" si="1"/>
        <v>0.99447068521190418</v>
      </c>
    </row>
    <row r="26" spans="1:7">
      <c r="A26" s="27" t="s">
        <v>34</v>
      </c>
      <c r="B26" s="2" t="s">
        <v>25</v>
      </c>
      <c r="C26" s="28">
        <f>'Структура БО'!D27</f>
        <v>89.696818835228257</v>
      </c>
      <c r="D26" s="6">
        <f t="shared" si="2"/>
        <v>7.7626314986415563</v>
      </c>
      <c r="E26" s="6">
        <f t="shared" si="1"/>
        <v>0.1721898775125254</v>
      </c>
    </row>
    <row r="27" spans="1:7">
      <c r="A27" s="27" t="s">
        <v>35</v>
      </c>
      <c r="B27" s="2" t="s">
        <v>29</v>
      </c>
      <c r="C27" s="28">
        <f>'Структура БО'!D28</f>
        <v>2359.2435503788979</v>
      </c>
      <c r="D27" s="6">
        <f t="shared" si="2"/>
        <v>204.17600685237909</v>
      </c>
      <c r="E27" s="6">
        <f t="shared" si="1"/>
        <v>4.5290107635613142</v>
      </c>
    </row>
    <row r="28" spans="1:7">
      <c r="A28" s="27" t="s">
        <v>36</v>
      </c>
      <c r="B28" s="2" t="s">
        <v>41</v>
      </c>
      <c r="C28" s="28">
        <f>'[1]Структури 2024-2025'!$Y$31-'[1]Структури 2024-2025'!$Y$34</f>
        <v>348.50200617053503</v>
      </c>
      <c r="D28" s="6">
        <f t="shared" si="2"/>
        <v>30.160407978445168</v>
      </c>
      <c r="E28" s="6">
        <f t="shared" si="1"/>
        <v>0.66901500560023841</v>
      </c>
    </row>
    <row r="29" spans="1:7">
      <c r="A29" s="27" t="s">
        <v>44</v>
      </c>
      <c r="B29" s="2" t="s">
        <v>42</v>
      </c>
      <c r="C29" s="28">
        <f>'[1]Структури 2024-2025'!$Y$37-'[1]Структури 2024-2025'!$Y$41-'[1]Структури 2024-2025'!$Y$40</f>
        <v>484.54775025143726</v>
      </c>
      <c r="D29" s="6">
        <f t="shared" si="2"/>
        <v>41.93421436280012</v>
      </c>
      <c r="E29" s="6">
        <f t="shared" si="1"/>
        <v>0.93018034360875346</v>
      </c>
    </row>
    <row r="30" spans="1:7" s="19" customFormat="1">
      <c r="A30" s="27" t="s">
        <v>45</v>
      </c>
      <c r="B30" s="2" t="str">
        <f>'Структура БО'!C31</f>
        <v>враховані витрати на покриття втрат</v>
      </c>
      <c r="C30" s="28">
        <f>'Структура БО'!D31</f>
        <v>3721.8284563343304</v>
      </c>
      <c r="D30" s="6">
        <f t="shared" si="2"/>
        <v>322.09818790512549</v>
      </c>
      <c r="E30" s="6">
        <f t="shared" si="1"/>
        <v>7.144748212264834</v>
      </c>
    </row>
    <row r="31" spans="1:7">
      <c r="A31" s="27" t="s">
        <v>53</v>
      </c>
      <c r="B31" s="2" t="s">
        <v>27</v>
      </c>
      <c r="C31" s="28">
        <f>'Структура БО'!D32</f>
        <v>448.65352981494516</v>
      </c>
      <c r="D31" s="6">
        <f t="shared" si="2"/>
        <v>38.827820961141775</v>
      </c>
      <c r="E31" s="6">
        <f t="shared" si="1"/>
        <v>0.86127465106997059</v>
      </c>
    </row>
    <row r="32" spans="1:7">
      <c r="A32" s="26">
        <v>3</v>
      </c>
      <c r="B32" s="1" t="s">
        <v>30</v>
      </c>
      <c r="C32" s="6">
        <f>SUM(C33:C39)</f>
        <v>779.5157083709064</v>
      </c>
      <c r="D32" s="6">
        <f t="shared" si="2"/>
        <v>67.461625396120823</v>
      </c>
      <c r="E32" s="6">
        <f t="shared" si="1"/>
        <v>1.4964266970275131</v>
      </c>
    </row>
    <row r="33" spans="1:5">
      <c r="A33" s="27" t="s">
        <v>13</v>
      </c>
      <c r="B33" s="2" t="s">
        <v>23</v>
      </c>
      <c r="C33" s="28">
        <f>'Структура БО'!D34</f>
        <v>533.55657141924678</v>
      </c>
      <c r="D33" s="6">
        <f t="shared" si="2"/>
        <v>46.175584612589994</v>
      </c>
      <c r="E33" s="6">
        <f t="shared" si="1"/>
        <v>1.0242619735205163</v>
      </c>
    </row>
    <row r="34" spans="1:5">
      <c r="A34" s="27" t="s">
        <v>14</v>
      </c>
      <c r="B34" s="2" t="s">
        <v>24</v>
      </c>
      <c r="C34" s="28">
        <f>'Структура БО'!D35</f>
        <v>117.38244571223429</v>
      </c>
      <c r="D34" s="6">
        <f t="shared" si="2"/>
        <v>10.158628614769798</v>
      </c>
      <c r="E34" s="6">
        <f t="shared" si="1"/>
        <v>0.22533763417451358</v>
      </c>
    </row>
    <row r="35" spans="1:5">
      <c r="A35" s="27" t="s">
        <v>15</v>
      </c>
      <c r="B35" s="2" t="s">
        <v>25</v>
      </c>
      <c r="C35" s="28">
        <f>'Структура БО'!D36</f>
        <v>0</v>
      </c>
      <c r="D35" s="6">
        <f t="shared" si="2"/>
        <v>0</v>
      </c>
      <c r="E35" s="6">
        <f t="shared" si="1"/>
        <v>0</v>
      </c>
    </row>
    <row r="36" spans="1:5">
      <c r="A36" s="27" t="s">
        <v>37</v>
      </c>
      <c r="B36" s="2" t="s">
        <v>26</v>
      </c>
      <c r="C36" s="28">
        <f>'Структура БО'!D37</f>
        <v>13.270955146339958</v>
      </c>
      <c r="D36" s="6">
        <f t="shared" si="2"/>
        <v>1.1485082277586625</v>
      </c>
      <c r="E36" s="6">
        <f t="shared" si="1"/>
        <v>2.547608901626975E-2</v>
      </c>
    </row>
    <row r="37" spans="1:5">
      <c r="A37" s="27" t="s">
        <v>40</v>
      </c>
      <c r="B37" s="2" t="s">
        <v>41</v>
      </c>
      <c r="C37" s="28">
        <f>'[1]Структури 2024-2025'!$AH$31-'[1]Структури 2024-2025'!$AH$34</f>
        <v>34.467231379503467</v>
      </c>
      <c r="D37" s="6">
        <f t="shared" si="2"/>
        <v>2.9828974923736982</v>
      </c>
      <c r="E37" s="6">
        <f t="shared" si="1"/>
        <v>6.6166319235188412E-2</v>
      </c>
    </row>
    <row r="38" spans="1:5">
      <c r="A38" s="27" t="s">
        <v>46</v>
      </c>
      <c r="B38" s="2" t="s">
        <v>42</v>
      </c>
      <c r="C38" s="28">
        <f>'[1]Структури 2024-2025'!$AH$37-'[1]Структури 2024-2025'!$AH$40-'[1]Структури 2024-2025'!$AH$41</f>
        <v>51.432442764119045</v>
      </c>
      <c r="D38" s="6">
        <f t="shared" si="2"/>
        <v>4.4511177256603487</v>
      </c>
      <c r="E38" s="6">
        <f t="shared" si="1"/>
        <v>9.8734226416571619E-2</v>
      </c>
    </row>
    <row r="39" spans="1:5">
      <c r="A39" s="27" t="s">
        <v>47</v>
      </c>
      <c r="B39" s="2" t="s">
        <v>27</v>
      </c>
      <c r="C39" s="28">
        <f>'Структура БО'!D40</f>
        <v>29.406061949462881</v>
      </c>
      <c r="D39" s="6">
        <f t="shared" si="2"/>
        <v>2.5448887229683281</v>
      </c>
      <c r="E39" s="6">
        <f t="shared" si="1"/>
        <v>5.6450454664453462E-2</v>
      </c>
    </row>
    <row r="40" spans="1:5" ht="27">
      <c r="A40" s="26">
        <v>4</v>
      </c>
      <c r="B40" s="3" t="s">
        <v>12</v>
      </c>
      <c r="C40" s="6">
        <f>C7+C22+C32</f>
        <v>46756.331838564838</v>
      </c>
      <c r="D40" s="6">
        <f>D32+D22+D7</f>
        <v>3756.8175758361522</v>
      </c>
      <c r="E40" s="6">
        <f t="shared" si="1"/>
        <v>83.333333333333329</v>
      </c>
    </row>
    <row r="41" spans="1:5">
      <c r="A41" s="26">
        <v>5</v>
      </c>
      <c r="B41" s="3" t="s">
        <v>31</v>
      </c>
      <c r="C41" s="6" t="s">
        <v>78</v>
      </c>
      <c r="D41" s="6">
        <f>D40</f>
        <v>3756.8175758361522</v>
      </c>
      <c r="E41" s="6" t="s">
        <v>78</v>
      </c>
    </row>
    <row r="42" spans="1:5" s="23" customFormat="1">
      <c r="A42" s="26">
        <v>6</v>
      </c>
      <c r="B42" s="5" t="s">
        <v>75</v>
      </c>
      <c r="C42" s="6" t="s">
        <v>78</v>
      </c>
      <c r="D42" s="6">
        <f>D41*20%</f>
        <v>751.3635151672305</v>
      </c>
      <c r="E42" s="6">
        <f t="shared" si="1"/>
        <v>16.666666666666668</v>
      </c>
    </row>
    <row r="43" spans="1:5" s="23" customFormat="1">
      <c r="A43" s="26">
        <v>7</v>
      </c>
      <c r="B43" s="5" t="s">
        <v>73</v>
      </c>
      <c r="C43" s="6" t="s">
        <v>78</v>
      </c>
      <c r="D43" s="6">
        <f>D41+D42</f>
        <v>4508.1810910033828</v>
      </c>
      <c r="E43" s="6">
        <f t="shared" si="1"/>
        <v>100</v>
      </c>
    </row>
    <row r="44" spans="1:5" s="19" customFormat="1">
      <c r="A44" s="26">
        <v>8</v>
      </c>
      <c r="B44" s="3" t="str">
        <f>'Структура БО'!C45</f>
        <v>Відпуск з колекторів,Гкал</v>
      </c>
      <c r="C44" s="7">
        <f>'Структура БО'!D45</f>
        <v>12751.93</v>
      </c>
      <c r="D44" s="6" t="s">
        <v>78</v>
      </c>
      <c r="E44" s="7" t="s">
        <v>78</v>
      </c>
    </row>
    <row r="45" spans="1:5">
      <c r="A45" s="26">
        <v>9</v>
      </c>
      <c r="B45" s="3" t="s">
        <v>32</v>
      </c>
      <c r="C45" s="7">
        <f>'[2]Структури 2024-2025'!$AH$58</f>
        <v>11554.95</v>
      </c>
      <c r="D45" s="7" t="s">
        <v>78</v>
      </c>
      <c r="E45" s="7" t="s">
        <v>78</v>
      </c>
    </row>
    <row r="46" spans="1:5">
      <c r="A46" s="26">
        <v>10</v>
      </c>
      <c r="B46" s="5" t="s">
        <v>39</v>
      </c>
      <c r="C46" s="42" t="s">
        <v>78</v>
      </c>
      <c r="D46" s="30">
        <f>(C21+C31+C39)/C40*100</f>
        <v>4.0192760925569466</v>
      </c>
      <c r="E46" s="42" t="s">
        <v>78</v>
      </c>
    </row>
    <row r="47" spans="1:5" s="23" customFormat="1">
      <c r="A47" s="31"/>
      <c r="B47" s="4"/>
      <c r="C47" s="34"/>
      <c r="D47" s="35"/>
      <c r="E47" s="34"/>
    </row>
    <row r="48" spans="1:5">
      <c r="A48" s="17"/>
      <c r="B48" s="4" t="str">
        <f>'Структура нас.общ.'!B49</f>
        <v>Директор КПТМ м. Берестин</v>
      </c>
      <c r="C48" s="9"/>
      <c r="D48" s="48" t="str">
        <f>'Структура нас.общ.'!D49:E49</f>
        <v>Володимир ЦАРИК</v>
      </c>
      <c r="E48" s="48"/>
    </row>
    <row r="49" spans="1:5">
      <c r="A49" s="17"/>
      <c r="B49" s="9"/>
      <c r="C49" s="9"/>
      <c r="D49" s="9"/>
      <c r="E49" s="9"/>
    </row>
    <row r="50" spans="1:5">
      <c r="A50" s="17"/>
      <c r="B50" s="9" t="s">
        <v>38</v>
      </c>
      <c r="C50" s="9"/>
      <c r="D50" s="9" t="str">
        <f>'Структура нас.общ.'!D51</f>
        <v>Ірина МИРОНОВА</v>
      </c>
      <c r="E50" s="9"/>
    </row>
  </sheetData>
  <mergeCells count="6">
    <mergeCell ref="D48:E48"/>
    <mergeCell ref="A2:E2"/>
    <mergeCell ref="A4:A5"/>
    <mergeCell ref="B4:B5"/>
    <mergeCell ref="C4:D4"/>
    <mergeCell ref="E4:E5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H51"/>
  <sheetViews>
    <sheetView view="pageBreakPreview" topLeftCell="A27" zoomScale="60" zoomScaleNormal="100" workbookViewId="0">
      <selection activeCell="F40" sqref="F40:F43"/>
    </sheetView>
  </sheetViews>
  <sheetFormatPr defaultRowHeight="15"/>
  <cols>
    <col min="1" max="2" width="9.140625" style="23"/>
    <col min="4" max="4" width="42.28515625" customWidth="1"/>
    <col min="5" max="5" width="15.28515625" customWidth="1"/>
    <col min="6" max="6" width="19" customWidth="1"/>
    <col min="7" max="7" width="14.140625" customWidth="1"/>
  </cols>
  <sheetData>
    <row r="1" spans="1:8">
      <c r="C1" s="17"/>
      <c r="D1" s="17"/>
      <c r="E1" s="17"/>
      <c r="F1" s="17"/>
      <c r="G1" s="17" t="s">
        <v>61</v>
      </c>
      <c r="H1" s="17"/>
    </row>
    <row r="2" spans="1:8" ht="69.75" customHeight="1">
      <c r="C2" s="45" t="s">
        <v>84</v>
      </c>
      <c r="D2" s="45"/>
      <c r="E2" s="45"/>
      <c r="F2" s="45"/>
      <c r="G2" s="45"/>
      <c r="H2" s="45"/>
    </row>
    <row r="3" spans="1:8">
      <c r="C3" s="17"/>
      <c r="D3" s="17"/>
      <c r="E3" s="17"/>
      <c r="F3" s="17"/>
      <c r="G3" s="17"/>
      <c r="H3" s="17"/>
    </row>
    <row r="4" spans="1:8" ht="47.25" customHeight="1">
      <c r="C4" s="49" t="s">
        <v>0</v>
      </c>
      <c r="D4" s="49" t="s">
        <v>18</v>
      </c>
      <c r="E4" s="52" t="s">
        <v>71</v>
      </c>
      <c r="F4" s="52"/>
      <c r="G4" s="49" t="s">
        <v>19</v>
      </c>
      <c r="H4" s="17"/>
    </row>
    <row r="5" spans="1:8">
      <c r="C5" s="49"/>
      <c r="D5" s="49"/>
      <c r="E5" s="24" t="s">
        <v>20</v>
      </c>
      <c r="F5" s="24" t="s">
        <v>10</v>
      </c>
      <c r="G5" s="49"/>
      <c r="H5" s="17"/>
    </row>
    <row r="6" spans="1:8"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17"/>
    </row>
    <row r="7" spans="1:8" ht="28.5" customHeight="1">
      <c r="C7" s="26">
        <v>1</v>
      </c>
      <c r="D7" s="1" t="s">
        <v>21</v>
      </c>
      <c r="E7" s="6">
        <f>SUM(E8:E21)</f>
        <v>37112.12852446043</v>
      </c>
      <c r="F7" s="6">
        <f t="shared" ref="F7:F21" si="0">E7/E$44*1000</f>
        <v>2910.3146366440551</v>
      </c>
      <c r="G7" s="6">
        <f t="shared" ref="G7:G40" si="1">F7/F$43*100</f>
        <v>60.444479266753881</v>
      </c>
      <c r="H7" s="17"/>
    </row>
    <row r="8" spans="1:8" ht="22.5" customHeight="1">
      <c r="C8" s="27" t="s">
        <v>1</v>
      </c>
      <c r="D8" s="39" t="s">
        <v>72</v>
      </c>
      <c r="E8" s="28">
        <f>'Структура БО'!D9</f>
        <v>22623.182276485</v>
      </c>
      <c r="F8" s="6">
        <f t="shared" si="0"/>
        <v>1774.0986875308286</v>
      </c>
      <c r="G8" s="28">
        <f t="shared" si="1"/>
        <v>36.846349870709084</v>
      </c>
      <c r="H8" s="17"/>
    </row>
    <row r="9" spans="1:8" s="20" customFormat="1" ht="22.5" customHeight="1">
      <c r="A9" s="23"/>
      <c r="B9" s="23"/>
      <c r="C9" s="27" t="s">
        <v>2</v>
      </c>
      <c r="D9" s="39" t="s">
        <v>67</v>
      </c>
      <c r="E9" s="28">
        <f>'Структура БО'!D10</f>
        <v>2447.6839606000003</v>
      </c>
      <c r="F9" s="6">
        <f t="shared" si="0"/>
        <v>191.94615721698599</v>
      </c>
      <c r="G9" s="28">
        <f t="shared" si="1"/>
        <v>3.9865399342573484</v>
      </c>
      <c r="H9" s="17"/>
    </row>
    <row r="10" spans="1:8" s="20" customFormat="1" ht="23.25" customHeight="1">
      <c r="A10" s="23"/>
      <c r="B10" s="23"/>
      <c r="C10" s="27" t="s">
        <v>3</v>
      </c>
      <c r="D10" s="39" t="s">
        <v>68</v>
      </c>
      <c r="E10" s="28">
        <f>'Структура БО'!D11</f>
        <v>1760.1958436699999</v>
      </c>
      <c r="F10" s="6">
        <f t="shared" si="0"/>
        <v>138.03368146390389</v>
      </c>
      <c r="G10" s="28">
        <f t="shared" si="1"/>
        <v>2.8668288618372779</v>
      </c>
      <c r="H10" s="17"/>
    </row>
    <row r="11" spans="1:8" ht="23.25" customHeight="1">
      <c r="C11" s="27" t="s">
        <v>4</v>
      </c>
      <c r="D11" s="2" t="s">
        <v>22</v>
      </c>
      <c r="E11" s="28">
        <f>'Структура БО'!D12</f>
        <v>1296.2078061517</v>
      </c>
      <c r="F11" s="6">
        <f t="shared" si="0"/>
        <v>101.64797063281401</v>
      </c>
      <c r="G11" s="28">
        <f t="shared" si="1"/>
        <v>2.111132100997704</v>
      </c>
      <c r="H11" s="17"/>
    </row>
    <row r="12" spans="1:8" ht="19.5" customHeight="1">
      <c r="C12" s="27" t="s">
        <v>5</v>
      </c>
      <c r="D12" s="2" t="s">
        <v>23</v>
      </c>
      <c r="E12" s="28">
        <f>'Структура БО'!D13</f>
        <v>4399.9351457433368</v>
      </c>
      <c r="F12" s="6">
        <f t="shared" si="0"/>
        <v>345.0407229135775</v>
      </c>
      <c r="G12" s="28">
        <f t="shared" si="1"/>
        <v>7.1661691006663029</v>
      </c>
      <c r="H12" s="17"/>
    </row>
    <row r="13" spans="1:8" ht="22.5" customHeight="1">
      <c r="C13" s="27" t="s">
        <v>6</v>
      </c>
      <c r="D13" s="2" t="s">
        <v>24</v>
      </c>
      <c r="E13" s="28">
        <f>'Структура БО'!D14</f>
        <v>967.98573206353399</v>
      </c>
      <c r="F13" s="6">
        <f t="shared" si="0"/>
        <v>75.908959040987042</v>
      </c>
      <c r="G13" s="28">
        <f t="shared" si="1"/>
        <v>1.5765572021465866</v>
      </c>
      <c r="H13" s="17"/>
    </row>
    <row r="14" spans="1:8" ht="17.25" customHeight="1">
      <c r="C14" s="27" t="s">
        <v>7</v>
      </c>
      <c r="D14" s="2" t="s">
        <v>25</v>
      </c>
      <c r="E14" s="28">
        <f>'Структура БО'!D15</f>
        <v>322.51442790275365</v>
      </c>
      <c r="F14" s="6">
        <f t="shared" si="0"/>
        <v>25.29142082043688</v>
      </c>
      <c r="G14" s="28">
        <f t="shared" si="1"/>
        <v>0.52527886234680499</v>
      </c>
      <c r="H14" s="17"/>
    </row>
    <row r="15" spans="1:8" ht="20.25" customHeight="1">
      <c r="C15" s="27" t="s">
        <v>8</v>
      </c>
      <c r="D15" s="2" t="s">
        <v>74</v>
      </c>
      <c r="E15" s="28">
        <v>0</v>
      </c>
      <c r="F15" s="6">
        <f t="shared" si="0"/>
        <v>0</v>
      </c>
      <c r="G15" s="28">
        <f t="shared" si="1"/>
        <v>0</v>
      </c>
      <c r="H15" s="17"/>
    </row>
    <row r="16" spans="1:8" ht="18.75" customHeight="1">
      <c r="C16" s="27" t="s">
        <v>9</v>
      </c>
      <c r="D16" s="2" t="s">
        <v>41</v>
      </c>
      <c r="E16" s="28">
        <f>'[1]Структури 2024-2025'!$Q$31</f>
        <v>1663.4987703039642</v>
      </c>
      <c r="F16" s="6">
        <f t="shared" si="0"/>
        <v>130.45074512673489</v>
      </c>
      <c r="G16" s="28">
        <f t="shared" si="1"/>
        <v>2.7093384542909464</v>
      </c>
      <c r="H16" s="17"/>
    </row>
    <row r="17" spans="1:8" ht="22.5" customHeight="1">
      <c r="C17" s="27" t="s">
        <v>43</v>
      </c>
      <c r="D17" s="2" t="s">
        <v>42</v>
      </c>
      <c r="E17" s="28">
        <f>'[1]Структури 2024-2025'!$Q$37-'[1]Структури 2024-2025'!$Q$40</f>
        <v>2203.6867909957659</v>
      </c>
      <c r="F17" s="6">
        <f t="shared" si="0"/>
        <v>172.81202068986937</v>
      </c>
      <c r="G17" s="28">
        <f t="shared" si="1"/>
        <v>3.5891420364361757</v>
      </c>
      <c r="H17" s="17"/>
    </row>
    <row r="18" spans="1:8" s="20" customFormat="1" ht="22.5" customHeight="1">
      <c r="A18" s="23"/>
      <c r="B18" s="23"/>
      <c r="C18" s="27" t="s">
        <v>54</v>
      </c>
      <c r="D18" s="2" t="s">
        <v>29</v>
      </c>
      <c r="E18" s="28">
        <f>'Структура БО'!D19</f>
        <v>1692.2545991364252</v>
      </c>
      <c r="F18" s="6">
        <f t="shared" si="0"/>
        <v>132.70576290306059</v>
      </c>
      <c r="G18" s="28">
        <f t="shared" si="1"/>
        <v>2.7561730382603464</v>
      </c>
      <c r="H18" s="17"/>
    </row>
    <row r="19" spans="1:8" ht="19.5" customHeight="1">
      <c r="C19" s="27" t="s">
        <v>64</v>
      </c>
      <c r="D19" s="2" t="s">
        <v>79</v>
      </c>
      <c r="E19" s="28">
        <f>'Структура БО'!D20</f>
        <v>55.605152162665476</v>
      </c>
      <c r="F19" s="6">
        <f t="shared" si="0"/>
        <v>4.3605283406249464</v>
      </c>
      <c r="G19" s="28">
        <f t="shared" si="1"/>
        <v>9.05640447113049E-2</v>
      </c>
      <c r="H19" s="17"/>
    </row>
    <row r="20" spans="1:8" s="19" customFormat="1" ht="19.5" customHeight="1">
      <c r="A20" s="23"/>
      <c r="B20" s="23"/>
      <c r="C20" s="27" t="s">
        <v>65</v>
      </c>
      <c r="D20" s="2" t="str">
        <f>'Структура БО'!C21</f>
        <v>витрати на покриття втрат</v>
      </c>
      <c r="E20" s="28">
        <f>'Структура БО'!D21</f>
        <v>-3721.8284563343304</v>
      </c>
      <c r="F20" s="6">
        <f t="shared" si="0"/>
        <v>-291.8639340346387</v>
      </c>
      <c r="G20" s="28">
        <f t="shared" si="1"/>
        <v>-6.0617375480105471</v>
      </c>
      <c r="H20" s="17"/>
    </row>
    <row r="21" spans="1:8" ht="21.75" customHeight="1">
      <c r="C21" s="27" t="s">
        <v>66</v>
      </c>
      <c r="D21" s="2" t="s">
        <v>27</v>
      </c>
      <c r="E21" s="28">
        <f>'Структура БО'!D22</f>
        <v>1401.2064755796207</v>
      </c>
      <c r="F21" s="6">
        <f t="shared" si="0"/>
        <v>109.88191399887081</v>
      </c>
      <c r="G21" s="28">
        <f t="shared" si="1"/>
        <v>2.2821433081045583</v>
      </c>
      <c r="H21" s="17"/>
    </row>
    <row r="22" spans="1:8" ht="33" customHeight="1">
      <c r="C22" s="26">
        <v>2</v>
      </c>
      <c r="D22" s="1" t="s">
        <v>28</v>
      </c>
      <c r="E22" s="6">
        <f>SUM(E23:E31)</f>
        <v>11951.124962990007</v>
      </c>
      <c r="F22" s="6">
        <f t="shared" ref="F22:F39" si="2">E22/E$45*1000</f>
        <v>1034.2861685243126</v>
      </c>
      <c r="G22" s="6">
        <f t="shared" si="1"/>
        <v>21.481144369100814</v>
      </c>
      <c r="H22" s="17"/>
    </row>
    <row r="23" spans="1:8" ht="24.75" customHeight="1">
      <c r="C23" s="27" t="s">
        <v>16</v>
      </c>
      <c r="D23" s="2" t="s">
        <v>22</v>
      </c>
      <c r="E23" s="28">
        <f>'Структура БО'!D24</f>
        <v>1588.6533905577037</v>
      </c>
      <c r="F23" s="6">
        <f t="shared" si="2"/>
        <v>137.486825175159</v>
      </c>
      <c r="G23" s="28">
        <f t="shared" si="1"/>
        <v>2.8554711745306403</v>
      </c>
      <c r="H23" s="17"/>
    </row>
    <row r="24" spans="1:8" ht="17.25" customHeight="1">
      <c r="C24" s="27" t="s">
        <v>17</v>
      </c>
      <c r="D24" s="2" t="s">
        <v>23</v>
      </c>
      <c r="E24" s="28">
        <f>'Структура БО'!D25</f>
        <v>2354.7170499166709</v>
      </c>
      <c r="F24" s="6">
        <f t="shared" si="2"/>
        <v>203.78426993770381</v>
      </c>
      <c r="G24" s="28">
        <f t="shared" si="1"/>
        <v>4.2324063261228133</v>
      </c>
      <c r="H24" s="17"/>
    </row>
    <row r="25" spans="1:8" ht="21" customHeight="1">
      <c r="C25" s="27" t="s">
        <v>33</v>
      </c>
      <c r="D25" s="2" t="s">
        <v>24</v>
      </c>
      <c r="E25" s="28">
        <f>'Структура БО'!D26</f>
        <v>518.0377509816675</v>
      </c>
      <c r="F25" s="6">
        <f t="shared" si="2"/>
        <v>44.832539386294833</v>
      </c>
      <c r="G25" s="28">
        <f t="shared" si="1"/>
        <v>0.9311293917470187</v>
      </c>
      <c r="H25" s="17"/>
    </row>
    <row r="26" spans="1:8" ht="21.75" customHeight="1">
      <c r="C26" s="27" t="s">
        <v>34</v>
      </c>
      <c r="D26" s="2" t="s">
        <v>25</v>
      </c>
      <c r="E26" s="28">
        <f>'Структура БО'!D27</f>
        <v>89.696818835228257</v>
      </c>
      <c r="F26" s="6">
        <f t="shared" si="2"/>
        <v>7.7626314986415563</v>
      </c>
      <c r="G26" s="28">
        <f t="shared" si="1"/>
        <v>0.16122250589927417</v>
      </c>
      <c r="H26" s="17"/>
    </row>
    <row r="27" spans="1:8" ht="20.25" customHeight="1">
      <c r="C27" s="27" t="s">
        <v>35</v>
      </c>
      <c r="D27" s="2" t="s">
        <v>29</v>
      </c>
      <c r="E27" s="28">
        <f>'Структура БО'!D28</f>
        <v>2359.2435503788979</v>
      </c>
      <c r="F27" s="6">
        <f t="shared" si="2"/>
        <v>204.17600685237909</v>
      </c>
      <c r="G27" s="28">
        <f t="shared" si="1"/>
        <v>4.2405423309103973</v>
      </c>
      <c r="H27" s="17"/>
    </row>
    <row r="28" spans="1:8" ht="19.5" customHeight="1">
      <c r="C28" s="27" t="s">
        <v>36</v>
      </c>
      <c r="D28" s="2" t="s">
        <v>41</v>
      </c>
      <c r="E28" s="28">
        <f>'[1]Структури 2024-2025'!$Y$31</f>
        <v>378.44737516568205</v>
      </c>
      <c r="F28" s="6">
        <f t="shared" si="2"/>
        <v>32.751969949301561</v>
      </c>
      <c r="G28" s="28">
        <f t="shared" si="1"/>
        <v>0.68022740346339661</v>
      </c>
      <c r="H28" s="17"/>
    </row>
    <row r="29" spans="1:8" ht="17.25" customHeight="1">
      <c r="C29" s="27" t="s">
        <v>44</v>
      </c>
      <c r="D29" s="2" t="s">
        <v>42</v>
      </c>
      <c r="E29" s="28">
        <f>'[1]Структури 2024-2025'!$Y$37-'[1]Структури 2024-2025'!$Y$40</f>
        <v>491.8470410048792</v>
      </c>
      <c r="F29" s="6">
        <f t="shared" si="2"/>
        <v>42.565916858565302</v>
      </c>
      <c r="G29" s="28">
        <f t="shared" si="1"/>
        <v>0.88405378807933832</v>
      </c>
      <c r="H29" s="17"/>
    </row>
    <row r="30" spans="1:8" s="19" customFormat="1" ht="17.25" customHeight="1">
      <c r="A30" s="23"/>
      <c r="B30" s="23"/>
      <c r="C30" s="27" t="s">
        <v>45</v>
      </c>
      <c r="D30" s="2" t="str">
        <f>'Структура БО'!C31</f>
        <v>враховані витрати на покриття втрат</v>
      </c>
      <c r="E30" s="28">
        <f>'Структура БО'!D31</f>
        <v>3721.8284563343304</v>
      </c>
      <c r="F30" s="6">
        <f t="shared" si="2"/>
        <v>322.09818790512549</v>
      </c>
      <c r="G30" s="28">
        <f t="shared" si="1"/>
        <v>6.6896743725072056</v>
      </c>
      <c r="H30" s="17"/>
    </row>
    <row r="31" spans="1:8" ht="19.5" customHeight="1">
      <c r="C31" s="27" t="s">
        <v>53</v>
      </c>
      <c r="D31" s="2" t="s">
        <v>27</v>
      </c>
      <c r="E31" s="28">
        <f>'Структура БО'!D32</f>
        <v>448.65352981494516</v>
      </c>
      <c r="F31" s="6">
        <f t="shared" si="2"/>
        <v>38.827820961141775</v>
      </c>
      <c r="G31" s="28">
        <f t="shared" si="1"/>
        <v>0.80641707584072664</v>
      </c>
      <c r="H31" s="17"/>
    </row>
    <row r="32" spans="1:8" ht="22.5" customHeight="1">
      <c r="C32" s="26">
        <v>3</v>
      </c>
      <c r="D32" s="1" t="s">
        <v>30</v>
      </c>
      <c r="E32" s="6">
        <f>SUM(E33:E39)</f>
        <v>783.25212332356671</v>
      </c>
      <c r="F32" s="6">
        <f t="shared" si="2"/>
        <v>67.784985943129712</v>
      </c>
      <c r="G32" s="6">
        <f t="shared" si="1"/>
        <v>1.4078299733809216</v>
      </c>
      <c r="H32" s="17"/>
    </row>
    <row r="33" spans="1:8" ht="16.5" customHeight="1">
      <c r="C33" s="27" t="s">
        <v>13</v>
      </c>
      <c r="D33" s="2" t="s">
        <v>23</v>
      </c>
      <c r="E33" s="28">
        <f>'Структура БО'!D34</f>
        <v>533.55657141924678</v>
      </c>
      <c r="F33" s="6">
        <f t="shared" si="2"/>
        <v>46.175584612589994</v>
      </c>
      <c r="G33" s="28">
        <f t="shared" si="1"/>
        <v>0.959023169386374</v>
      </c>
      <c r="H33" s="17"/>
    </row>
    <row r="34" spans="1:8" ht="19.5" customHeight="1">
      <c r="C34" s="27" t="s">
        <v>14</v>
      </c>
      <c r="D34" s="2" t="s">
        <v>24</v>
      </c>
      <c r="E34" s="28">
        <f>'Структура БО'!D35</f>
        <v>117.38244571223429</v>
      </c>
      <c r="F34" s="6">
        <f t="shared" si="2"/>
        <v>10.158628614769798</v>
      </c>
      <c r="G34" s="28">
        <f t="shared" si="1"/>
        <v>0.21098509726500231</v>
      </c>
      <c r="H34" s="17"/>
    </row>
    <row r="35" spans="1:8" ht="17.25" customHeight="1">
      <c r="C35" s="27" t="s">
        <v>15</v>
      </c>
      <c r="D35" s="2" t="s">
        <v>25</v>
      </c>
      <c r="E35" s="28">
        <f>'Структура БО'!D36</f>
        <v>0</v>
      </c>
      <c r="F35" s="6">
        <f t="shared" si="2"/>
        <v>0</v>
      </c>
      <c r="G35" s="28">
        <f t="shared" si="1"/>
        <v>0</v>
      </c>
      <c r="H35" s="17"/>
    </row>
    <row r="36" spans="1:8" ht="15" customHeight="1">
      <c r="C36" s="27" t="s">
        <v>37</v>
      </c>
      <c r="D36" s="2" t="s">
        <v>26</v>
      </c>
      <c r="E36" s="28">
        <f>'Структура БО'!D37</f>
        <v>13.270955146339958</v>
      </c>
      <c r="F36" s="6">
        <f t="shared" si="2"/>
        <v>1.1485082277586625</v>
      </c>
      <c r="G36" s="28">
        <f t="shared" si="1"/>
        <v>2.3853428384123274E-2</v>
      </c>
      <c r="H36" s="17"/>
    </row>
    <row r="37" spans="1:8" ht="18" customHeight="1">
      <c r="C37" s="27" t="s">
        <v>40</v>
      </c>
      <c r="D37" s="2" t="s">
        <v>41</v>
      </c>
      <c r="E37" s="28">
        <f>'[1]Структури 2024-2025'!$AH$31</f>
        <v>37.428861280122405</v>
      </c>
      <c r="F37" s="6">
        <f t="shared" si="2"/>
        <v>3.2392058191616928</v>
      </c>
      <c r="G37" s="28">
        <f t="shared" si="1"/>
        <v>6.7275237705171104E-2</v>
      </c>
      <c r="H37" s="17"/>
    </row>
    <row r="38" spans="1:8" ht="17.25" customHeight="1">
      <c r="C38" s="27" t="s">
        <v>46</v>
      </c>
      <c r="D38" s="2" t="s">
        <v>42</v>
      </c>
      <c r="E38" s="28">
        <f>'[1]Структури 2024-2025'!$AH$37-'[1]Структури 2024-2025'!$AH$40</f>
        <v>52.207227816160369</v>
      </c>
      <c r="F38" s="6">
        <f t="shared" si="2"/>
        <v>4.5181699458812341</v>
      </c>
      <c r="G38" s="28">
        <f t="shared" si="1"/>
        <v>9.3838111583840395E-2</v>
      </c>
      <c r="H38" s="17"/>
    </row>
    <row r="39" spans="1:8" ht="17.25" customHeight="1">
      <c r="C39" s="27" t="s">
        <v>47</v>
      </c>
      <c r="D39" s="2" t="s">
        <v>27</v>
      </c>
      <c r="E39" s="28">
        <f>'Структура БО'!D40</f>
        <v>29.406061949462881</v>
      </c>
      <c r="F39" s="6">
        <f t="shared" si="2"/>
        <v>2.5448887229683281</v>
      </c>
      <c r="G39" s="28">
        <f t="shared" si="1"/>
        <v>5.2854929056410579E-2</v>
      </c>
      <c r="H39" s="17"/>
    </row>
    <row r="40" spans="1:8" ht="29.25" customHeight="1">
      <c r="C40" s="26">
        <v>4</v>
      </c>
      <c r="D40" s="3" t="s">
        <v>12</v>
      </c>
      <c r="E40" s="6">
        <f>E7+E22+E32</f>
        <v>49846.505610774002</v>
      </c>
      <c r="F40" s="6">
        <v>4012.38</v>
      </c>
      <c r="G40" s="6">
        <f t="shared" si="1"/>
        <v>83.333333333333343</v>
      </c>
      <c r="H40" s="17"/>
    </row>
    <row r="41" spans="1:8" ht="26.25" customHeight="1">
      <c r="C41" s="26">
        <v>5</v>
      </c>
      <c r="D41" s="3" t="s">
        <v>31</v>
      </c>
      <c r="E41" s="6" t="s">
        <v>78</v>
      </c>
      <c r="F41" s="6">
        <f>F40</f>
        <v>4012.38</v>
      </c>
      <c r="G41" s="6" t="s">
        <v>78</v>
      </c>
      <c r="H41" s="17"/>
    </row>
    <row r="42" spans="1:8" s="23" customFormat="1" ht="26.25" customHeight="1">
      <c r="C42" s="26">
        <v>6</v>
      </c>
      <c r="D42" s="5" t="s">
        <v>75</v>
      </c>
      <c r="E42" s="6" t="s">
        <v>78</v>
      </c>
      <c r="F42" s="6">
        <f>F41*20%</f>
        <v>802.47600000000011</v>
      </c>
      <c r="G42" s="6">
        <f>F42/F$43*100</f>
        <v>16.666666666666668</v>
      </c>
      <c r="H42" s="17"/>
    </row>
    <row r="43" spans="1:8" s="23" customFormat="1" ht="26.25" customHeight="1">
      <c r="C43" s="26">
        <v>7</v>
      </c>
      <c r="D43" s="5" t="s">
        <v>73</v>
      </c>
      <c r="E43" s="6" t="s">
        <v>78</v>
      </c>
      <c r="F43" s="6">
        <f>F41+F42</f>
        <v>4814.8559999999998</v>
      </c>
      <c r="G43" s="6">
        <f>F43/F$43*100</f>
        <v>100</v>
      </c>
      <c r="H43" s="17"/>
    </row>
    <row r="44" spans="1:8" s="19" customFormat="1" ht="26.25" customHeight="1">
      <c r="A44" s="23"/>
      <c r="B44" s="23"/>
      <c r="C44" s="26">
        <v>8</v>
      </c>
      <c r="D44" s="3" t="str">
        <f>'Структура БО'!C45</f>
        <v>Відпуск з колекторів,Гкал</v>
      </c>
      <c r="E44" s="6">
        <f>'Структура БО'!D45</f>
        <v>12751.93</v>
      </c>
      <c r="F44" s="6" t="s">
        <v>78</v>
      </c>
      <c r="G44" s="6" t="s">
        <v>78</v>
      </c>
      <c r="H44" s="17"/>
    </row>
    <row r="45" spans="1:8" ht="27" customHeight="1">
      <c r="C45" s="26">
        <v>9</v>
      </c>
      <c r="D45" s="3" t="s">
        <v>32</v>
      </c>
      <c r="E45" s="6">
        <f>'[2]Структури 2024-2025'!$AH$58</f>
        <v>11554.95</v>
      </c>
      <c r="F45" s="6" t="s">
        <v>78</v>
      </c>
      <c r="G45" s="6" t="s">
        <v>78</v>
      </c>
      <c r="H45" s="17"/>
    </row>
    <row r="46" spans="1:8" ht="23.25" customHeight="1">
      <c r="C46" s="26">
        <v>10</v>
      </c>
      <c r="D46" s="5" t="s">
        <v>39</v>
      </c>
      <c r="E46" s="42" t="s">
        <v>77</v>
      </c>
      <c r="F46" s="30">
        <f>(E21+E31+E39)/E40*100</f>
        <v>3.7701059368499394</v>
      </c>
      <c r="G46" s="42" t="s">
        <v>78</v>
      </c>
      <c r="H46" s="17"/>
    </row>
    <row r="47" spans="1:8" s="23" customFormat="1" ht="27" customHeight="1">
      <c r="C47" s="31"/>
      <c r="D47" s="4"/>
      <c r="E47" s="36"/>
      <c r="F47" s="37"/>
      <c r="G47" s="36"/>
      <c r="H47" s="17"/>
    </row>
    <row r="48" spans="1:8" ht="16.5" customHeight="1">
      <c r="C48" s="17"/>
      <c r="D48" s="4" t="str">
        <f>'Структура нас.общ.'!B49</f>
        <v>Директор КПТМ м. Берестин</v>
      </c>
      <c r="E48" s="9"/>
      <c r="F48" s="48" t="s">
        <v>51</v>
      </c>
      <c r="G48" s="48"/>
      <c r="H48" s="17"/>
    </row>
    <row r="49" spans="3:8" ht="14.25" customHeight="1">
      <c r="C49" s="17"/>
      <c r="D49" s="9"/>
      <c r="E49" s="9"/>
      <c r="F49" s="9"/>
      <c r="G49" s="9"/>
      <c r="H49" s="17"/>
    </row>
    <row r="50" spans="3:8" ht="19.5" customHeight="1">
      <c r="C50" s="17"/>
      <c r="D50" s="9" t="s">
        <v>38</v>
      </c>
      <c r="E50" s="9"/>
      <c r="F50" s="9" t="str">
        <f>'Структура нас.общ.'!D51</f>
        <v>Ірина МИРОНОВА</v>
      </c>
      <c r="G50" s="9"/>
      <c r="H50" s="17"/>
    </row>
    <row r="51" spans="3:8">
      <c r="C51" s="17"/>
      <c r="D51" s="17"/>
      <c r="E51" s="17"/>
      <c r="F51" s="17"/>
      <c r="G51" s="17"/>
      <c r="H51" s="17"/>
    </row>
  </sheetData>
  <mergeCells count="6">
    <mergeCell ref="F48:G48"/>
    <mergeCell ref="C2:H2"/>
    <mergeCell ref="C4:C5"/>
    <mergeCell ref="D4:D5"/>
    <mergeCell ref="E4:F4"/>
    <mergeCell ref="G4:G5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51"/>
  <sheetViews>
    <sheetView view="pageBreakPreview" topLeftCell="A31" zoomScale="60" zoomScaleNormal="100" workbookViewId="0">
      <selection activeCell="E44" sqref="E44"/>
    </sheetView>
  </sheetViews>
  <sheetFormatPr defaultRowHeight="15"/>
  <cols>
    <col min="1" max="1" width="9.140625" style="20"/>
    <col min="2" max="2" width="6" customWidth="1"/>
    <col min="3" max="3" width="48" customWidth="1"/>
    <col min="4" max="4" width="17.140625" customWidth="1"/>
    <col min="5" max="5" width="15.42578125" customWidth="1"/>
    <col min="6" max="6" width="12.7109375" customWidth="1"/>
  </cols>
  <sheetData>
    <row r="1" spans="2:6">
      <c r="B1" s="53" t="s">
        <v>62</v>
      </c>
      <c r="C1" s="53"/>
      <c r="D1" s="53"/>
      <c r="E1" s="53"/>
      <c r="F1" s="53"/>
    </row>
    <row r="2" spans="2:6" ht="73.5" customHeight="1">
      <c r="B2" s="45" t="s">
        <v>85</v>
      </c>
      <c r="C2" s="54"/>
      <c r="D2" s="54"/>
      <c r="E2" s="54"/>
      <c r="F2" s="54"/>
    </row>
    <row r="3" spans="2:6">
      <c r="B3" s="51"/>
      <c r="C3" s="51"/>
      <c r="D3" s="51"/>
      <c r="E3" s="51"/>
      <c r="F3" s="17"/>
    </row>
    <row r="4" spans="2:6">
      <c r="B4" s="17"/>
      <c r="C4" s="17"/>
      <c r="D4" s="17"/>
      <c r="E4" s="17"/>
      <c r="F4" s="17"/>
    </row>
    <row r="5" spans="2:6" ht="51" customHeight="1">
      <c r="B5" s="55" t="s">
        <v>0</v>
      </c>
      <c r="C5" s="55" t="s">
        <v>18</v>
      </c>
      <c r="D5" s="57" t="s">
        <v>49</v>
      </c>
      <c r="E5" s="58"/>
      <c r="F5" s="55" t="s">
        <v>19</v>
      </c>
    </row>
    <row r="6" spans="2:6">
      <c r="B6" s="56"/>
      <c r="C6" s="56"/>
      <c r="D6" s="24" t="s">
        <v>20</v>
      </c>
      <c r="E6" s="24" t="s">
        <v>10</v>
      </c>
      <c r="F6" s="56"/>
    </row>
    <row r="7" spans="2:6">
      <c r="B7" s="25">
        <v>1</v>
      </c>
      <c r="C7" s="25">
        <v>2</v>
      </c>
      <c r="D7" s="25">
        <v>3</v>
      </c>
      <c r="E7" s="25">
        <v>4</v>
      </c>
      <c r="F7" s="25">
        <v>5</v>
      </c>
    </row>
    <row r="8" spans="2:6" ht="19.5" customHeight="1">
      <c r="B8" s="26">
        <v>1</v>
      </c>
      <c r="C8" s="1" t="s">
        <v>21</v>
      </c>
      <c r="D8" s="6">
        <f>SUM(D9:D22)</f>
        <v>6345.2465354756578</v>
      </c>
      <c r="E8" s="6">
        <f t="shared" ref="E8:E22" si="0">D8/D$45*1000</f>
        <v>2757.8663660190423</v>
      </c>
      <c r="F8" s="6">
        <f>E8/E$44*100</f>
        <v>61.88357708040413</v>
      </c>
    </row>
    <row r="9" spans="2:6" ht="20.25" customHeight="1">
      <c r="B9" s="27" t="s">
        <v>1</v>
      </c>
      <c r="C9" s="39" t="s">
        <v>72</v>
      </c>
      <c r="D9" s="28">
        <f>'Структура КП'!C8</f>
        <v>4384.577796865</v>
      </c>
      <c r="E9" s="6">
        <f t="shared" si="0"/>
        <v>1905.6910661488425</v>
      </c>
      <c r="F9" s="28">
        <f t="shared" ref="F9:F44" si="1">E9/E$44*100</f>
        <v>42.761673095020861</v>
      </c>
    </row>
    <row r="10" spans="2:6" s="20" customFormat="1" ht="21" customHeight="1">
      <c r="B10" s="27" t="s">
        <v>2</v>
      </c>
      <c r="C10" s="39" t="s">
        <v>67</v>
      </c>
      <c r="D10" s="28">
        <f>'Структура КП'!C9</f>
        <v>345.4984867</v>
      </c>
      <c r="E10" s="6">
        <f t="shared" si="0"/>
        <v>150.16574228490239</v>
      </c>
      <c r="F10" s="28">
        <f t="shared" si="1"/>
        <v>3.3695589467367602</v>
      </c>
    </row>
    <row r="11" spans="2:6" s="20" customFormat="1" ht="16.5" customHeight="1">
      <c r="B11" s="27" t="s">
        <v>3</v>
      </c>
      <c r="C11" s="39" t="s">
        <v>68</v>
      </c>
      <c r="D11" s="28">
        <f>'Структура КП'!C10</f>
        <v>16.839983159999999</v>
      </c>
      <c r="E11" s="6">
        <f t="shared" si="0"/>
        <v>7.3192464471846739</v>
      </c>
      <c r="F11" s="28">
        <f t="shared" si="1"/>
        <v>0.16423607657924474</v>
      </c>
    </row>
    <row r="12" spans="2:6" ht="20.25" customHeight="1">
      <c r="B12" s="27" t="s">
        <v>4</v>
      </c>
      <c r="C12" s="2" t="s">
        <v>22</v>
      </c>
      <c r="D12" s="28">
        <v>0</v>
      </c>
      <c r="E12" s="6">
        <f t="shared" si="0"/>
        <v>0</v>
      </c>
      <c r="F12" s="28">
        <f t="shared" si="1"/>
        <v>0</v>
      </c>
    </row>
    <row r="13" spans="2:6" ht="15.75" customHeight="1">
      <c r="B13" s="27" t="s">
        <v>5</v>
      </c>
      <c r="C13" s="2" t="s">
        <v>23</v>
      </c>
      <c r="D13" s="28">
        <f>'Структура КП'!C12</f>
        <v>793.86313950582371</v>
      </c>
      <c r="E13" s="6">
        <f t="shared" si="0"/>
        <v>345.0407229135775</v>
      </c>
      <c r="F13" s="28">
        <f t="shared" si="1"/>
        <v>7.7423454723524872</v>
      </c>
    </row>
    <row r="14" spans="2:6" ht="17.25" customHeight="1">
      <c r="B14" s="27" t="s">
        <v>6</v>
      </c>
      <c r="C14" s="2" t="s">
        <v>24</v>
      </c>
      <c r="D14" s="28">
        <f>'Структура КП'!C13</f>
        <v>174.6498906912812</v>
      </c>
      <c r="E14" s="6">
        <f t="shared" si="0"/>
        <v>75.908959040987042</v>
      </c>
      <c r="F14" s="28">
        <f t="shared" si="1"/>
        <v>1.7033160039175468</v>
      </c>
    </row>
    <row r="15" spans="2:6" ht="16.5" customHeight="1">
      <c r="B15" s="27" t="s">
        <v>7</v>
      </c>
      <c r="C15" s="2" t="s">
        <v>25</v>
      </c>
      <c r="D15" s="28">
        <f>'Структура КП'!C14</f>
        <v>58.190020486665581</v>
      </c>
      <c r="E15" s="6">
        <f t="shared" si="0"/>
        <v>25.29142082043688</v>
      </c>
      <c r="F15" s="28">
        <f t="shared" si="1"/>
        <v>0.56751248323670112</v>
      </c>
    </row>
    <row r="16" spans="2:6" ht="17.25" customHeight="1">
      <c r="B16" s="27" t="s">
        <v>8</v>
      </c>
      <c r="C16" s="2" t="s">
        <v>74</v>
      </c>
      <c r="D16" s="28">
        <v>0</v>
      </c>
      <c r="E16" s="6">
        <f t="shared" si="0"/>
        <v>0</v>
      </c>
      <c r="F16" s="28">
        <f t="shared" si="1"/>
        <v>0</v>
      </c>
    </row>
    <row r="17" spans="1:6" ht="12.75" customHeight="1">
      <c r="B17" s="27" t="s">
        <v>9</v>
      </c>
      <c r="C17" s="2" t="s">
        <v>41</v>
      </c>
      <c r="D17" s="28">
        <f>'[1]Структури 2024-2025'!$R$31-'[1]Структури 2024-2025'!$R$34</f>
        <v>276.38955366757642</v>
      </c>
      <c r="E17" s="6">
        <f t="shared" si="0"/>
        <v>120.12857967254442</v>
      </c>
      <c r="F17" s="28">
        <f t="shared" si="1"/>
        <v>2.6955570840280672</v>
      </c>
    </row>
    <row r="18" spans="1:6" ht="15.75" customHeight="1">
      <c r="B18" s="27" t="s">
        <v>43</v>
      </c>
      <c r="C18" s="2" t="s">
        <v>42</v>
      </c>
      <c r="D18" s="28">
        <f>'[1]Структури 2024-2025'!$R$37-'[1]Структури 2024-2025'!$R$40-'[1]Структури 2024-2025'!$R$41</f>
        <v>391.70196410063903</v>
      </c>
      <c r="E18" s="6">
        <f t="shared" si="0"/>
        <v>170.2473916903169</v>
      </c>
      <c r="F18" s="28">
        <f t="shared" si="1"/>
        <v>3.8201697211360588</v>
      </c>
    </row>
    <row r="19" spans="1:6" s="20" customFormat="1" ht="15.75" customHeight="1">
      <c r="B19" s="27" t="s">
        <v>54</v>
      </c>
      <c r="C19" s="2" t="s">
        <v>29</v>
      </c>
      <c r="D19" s="28">
        <f>'Структура КП'!C18</f>
        <v>305.3268978778666</v>
      </c>
      <c r="E19" s="6">
        <f t="shared" si="0"/>
        <v>132.70576290306059</v>
      </c>
      <c r="F19" s="28">
        <f t="shared" si="1"/>
        <v>2.9777756488904079</v>
      </c>
    </row>
    <row r="20" spans="1:6" ht="16.5" customHeight="1">
      <c r="B20" s="27" t="s">
        <v>64</v>
      </c>
      <c r="C20" s="2" t="s">
        <v>79</v>
      </c>
      <c r="D20" s="28">
        <f>'Структура КП'!C19</f>
        <v>10.032620756071404</v>
      </c>
      <c r="E20" s="6">
        <f t="shared" si="0"/>
        <v>4.3605283406249464</v>
      </c>
      <c r="F20" s="28">
        <f t="shared" si="1"/>
        <v>9.7845600861317217E-2</v>
      </c>
    </row>
    <row r="21" spans="1:6" s="19" customFormat="1" ht="16.5" customHeight="1">
      <c r="A21" s="20"/>
      <c r="B21" s="27" t="s">
        <v>65</v>
      </c>
      <c r="C21" s="2" t="str">
        <f>'Структура КП'!B20</f>
        <v>витрати на покриття втрат</v>
      </c>
      <c r="D21" s="28">
        <f>'[1]Структури 2024-2025'!$R$49</f>
        <v>-661.36373969896954</v>
      </c>
      <c r="E21" s="6">
        <f t="shared" si="0"/>
        <v>-287.45184339533819</v>
      </c>
      <c r="F21" s="28">
        <f t="shared" si="1"/>
        <v>-6.4501124952393161</v>
      </c>
    </row>
    <row r="22" spans="1:6" ht="21.75" customHeight="1">
      <c r="B22" s="27" t="s">
        <v>66</v>
      </c>
      <c r="C22" s="2" t="s">
        <v>27</v>
      </c>
      <c r="D22" s="28">
        <f>'Структура КП'!C21</f>
        <v>249.53992136370405</v>
      </c>
      <c r="E22" s="6">
        <f t="shared" si="0"/>
        <v>108.45878915190279</v>
      </c>
      <c r="F22" s="28">
        <f t="shared" si="1"/>
        <v>2.433699442884004</v>
      </c>
    </row>
    <row r="23" spans="1:6" ht="19.5" customHeight="1">
      <c r="B23" s="26">
        <v>2</v>
      </c>
      <c r="C23" s="1" t="s">
        <v>28</v>
      </c>
      <c r="D23" s="6">
        <f>SUM(D24:D32)</f>
        <v>1852.6332896046588</v>
      </c>
      <c r="E23" s="6">
        <f t="shared" ref="E23:E40" si="2">D23/D$46*1000</f>
        <v>888.44916451247843</v>
      </c>
      <c r="F23" s="6">
        <f t="shared" si="1"/>
        <v>19.935850783623135</v>
      </c>
    </row>
    <row r="24" spans="1:6" ht="24" customHeight="1">
      <c r="B24" s="27" t="s">
        <v>16</v>
      </c>
      <c r="C24" s="2" t="s">
        <v>22</v>
      </c>
      <c r="D24" s="28">
        <v>0</v>
      </c>
      <c r="E24" s="6">
        <f t="shared" si="2"/>
        <v>0</v>
      </c>
      <c r="F24" s="28">
        <f t="shared" si="1"/>
        <v>0</v>
      </c>
    </row>
    <row r="25" spans="1:6" ht="21.75" customHeight="1">
      <c r="B25" s="27" t="s">
        <v>17</v>
      </c>
      <c r="C25" s="2" t="s">
        <v>23</v>
      </c>
      <c r="D25" s="28">
        <f>'Структура КП'!C24</f>
        <v>424.93992618197728</v>
      </c>
      <c r="E25" s="6">
        <f t="shared" si="2"/>
        <v>203.78426993770381</v>
      </c>
      <c r="F25" s="28">
        <f t="shared" si="1"/>
        <v>4.5727014665571009</v>
      </c>
    </row>
    <row r="26" spans="1:6" ht="24.75" customHeight="1">
      <c r="B26" s="27" t="s">
        <v>33</v>
      </c>
      <c r="C26" s="2" t="s">
        <v>24</v>
      </c>
      <c r="D26" s="28">
        <f>'Структура КП'!C25</f>
        <v>93.486783760034996</v>
      </c>
      <c r="E26" s="6">
        <f t="shared" si="2"/>
        <v>44.832539386294833</v>
      </c>
      <c r="F26" s="28">
        <f t="shared" si="1"/>
        <v>1.0059943226425621</v>
      </c>
    </row>
    <row r="27" spans="1:6" ht="19.5" customHeight="1">
      <c r="B27" s="27" t="s">
        <v>34</v>
      </c>
      <c r="C27" s="2" t="s">
        <v>25</v>
      </c>
      <c r="D27" s="28">
        <f>'Структура КП'!C26</f>
        <v>16.186980756753314</v>
      </c>
      <c r="E27" s="6">
        <f t="shared" si="2"/>
        <v>7.7626314986415554</v>
      </c>
      <c r="F27" s="28">
        <f t="shared" si="1"/>
        <v>0.17418516379616375</v>
      </c>
    </row>
    <row r="28" spans="1:6" ht="15.75" customHeight="1">
      <c r="B28" s="27" t="s">
        <v>35</v>
      </c>
      <c r="C28" s="2" t="s">
        <v>29</v>
      </c>
      <c r="D28" s="28">
        <f>'Структура КП'!C27</f>
        <v>425.75679323288239</v>
      </c>
      <c r="E28" s="6">
        <f t="shared" si="2"/>
        <v>204.17600685237909</v>
      </c>
      <c r="F28" s="28">
        <f t="shared" si="1"/>
        <v>4.5814916247218491</v>
      </c>
    </row>
    <row r="29" spans="1:6" ht="19.5" customHeight="1">
      <c r="B29" s="27" t="s">
        <v>36</v>
      </c>
      <c r="C29" s="2" t="s">
        <v>41</v>
      </c>
      <c r="D29" s="28">
        <f>'[1]Структури 2024-2025'!$Z$31-'[1]Структури 2024-2025'!$Z$34</f>
        <v>62.89180977460493</v>
      </c>
      <c r="E29" s="6">
        <f t="shared" si="2"/>
        <v>30.160407978445171</v>
      </c>
      <c r="F29" s="28">
        <f t="shared" si="1"/>
        <v>0.67676735715252578</v>
      </c>
    </row>
    <row r="30" spans="1:6" ht="23.25" customHeight="1">
      <c r="B30" s="27" t="s">
        <v>44</v>
      </c>
      <c r="C30" s="2" t="s">
        <v>42</v>
      </c>
      <c r="D30" s="28">
        <f>'[1]Структури 2024-2025'!$Z$37-'[1]Структури 2024-2025'!$Z$40-'[1]Структури 2024-2025'!$Z$41</f>
        <v>87.44306889474278</v>
      </c>
      <c r="E30" s="6">
        <f t="shared" si="2"/>
        <v>41.93421436280012</v>
      </c>
      <c r="F30" s="28">
        <f t="shared" si="1"/>
        <v>0.9409590032356967</v>
      </c>
    </row>
    <row r="31" spans="1:6" s="19" customFormat="1" ht="23.25" customHeight="1">
      <c r="A31" s="20"/>
      <c r="B31" s="27" t="s">
        <v>45</v>
      </c>
      <c r="C31" s="2" t="str">
        <f>'Структура КП'!B30</f>
        <v>враховані витрати на покриття втрат</v>
      </c>
      <c r="D31" s="28">
        <f>'[1]Структури 2024-2025'!$Z$46</f>
        <v>661.36373969896954</v>
      </c>
      <c r="E31" s="6">
        <f t="shared" si="2"/>
        <v>317.16371786657555</v>
      </c>
      <c r="F31" s="28">
        <f t="shared" si="1"/>
        <v>7.1168152393241302</v>
      </c>
    </row>
    <row r="32" spans="1:6" ht="22.5" customHeight="1">
      <c r="B32" s="27" t="s">
        <v>53</v>
      </c>
      <c r="C32" s="2" t="s">
        <v>27</v>
      </c>
      <c r="D32" s="28">
        <f>'Структура КП'!C31</f>
        <v>80.564187304693519</v>
      </c>
      <c r="E32" s="6">
        <f t="shared" si="2"/>
        <v>38.635376629638316</v>
      </c>
      <c r="F32" s="28">
        <f t="shared" si="1"/>
        <v>0.86693660619310764</v>
      </c>
    </row>
    <row r="33" spans="1:6" ht="20.25" customHeight="1">
      <c r="B33" s="26">
        <v>3</v>
      </c>
      <c r="C33" s="1" t="s">
        <v>30</v>
      </c>
      <c r="D33" s="6">
        <f>SUM(D34:D40)</f>
        <v>140.67394958750856</v>
      </c>
      <c r="E33" s="6">
        <f t="shared" si="2"/>
        <v>67.461625396120809</v>
      </c>
      <c r="F33" s="6">
        <f t="shared" si="1"/>
        <v>1.5137668549170613</v>
      </c>
    </row>
    <row r="34" spans="1:6" ht="19.5" customHeight="1">
      <c r="B34" s="27" t="s">
        <v>13</v>
      </c>
      <c r="C34" s="2" t="s">
        <v>23</v>
      </c>
      <c r="D34" s="28">
        <f>'Структура КП'!C33</f>
        <v>96.287360759895606</v>
      </c>
      <c r="E34" s="6">
        <f t="shared" si="2"/>
        <v>46.175584612589994</v>
      </c>
      <c r="F34" s="28">
        <f t="shared" si="1"/>
        <v>1.0361308237464488</v>
      </c>
    </row>
    <row r="35" spans="1:6" ht="21" customHeight="1">
      <c r="B35" s="27" t="s">
        <v>14</v>
      </c>
      <c r="C35" s="2" t="s">
        <v>24</v>
      </c>
      <c r="D35" s="28">
        <f>'Структура КП'!C34</f>
        <v>21.183219367177035</v>
      </c>
      <c r="E35" s="6">
        <f t="shared" si="2"/>
        <v>10.158628614769798</v>
      </c>
      <c r="F35" s="28">
        <f t="shared" si="1"/>
        <v>0.22794878122421874</v>
      </c>
    </row>
    <row r="36" spans="1:6" ht="18.75" customHeight="1">
      <c r="B36" s="27" t="s">
        <v>15</v>
      </c>
      <c r="C36" s="2" t="s">
        <v>25</v>
      </c>
      <c r="D36" s="28">
        <f>'Структура КП'!C35</f>
        <v>0</v>
      </c>
      <c r="E36" s="6">
        <f t="shared" si="2"/>
        <v>0</v>
      </c>
      <c r="F36" s="28">
        <f t="shared" si="1"/>
        <v>0</v>
      </c>
    </row>
    <row r="37" spans="1:6" ht="18.75" customHeight="1">
      <c r="B37" s="27" t="s">
        <v>37</v>
      </c>
      <c r="C37" s="2" t="s">
        <v>26</v>
      </c>
      <c r="D37" s="28">
        <f>'Структура КП'!C36</f>
        <v>2.3949198908843847</v>
      </c>
      <c r="E37" s="6">
        <f t="shared" si="2"/>
        <v>1.1485082277586625</v>
      </c>
      <c r="F37" s="28">
        <f t="shared" si="1"/>
        <v>2.5771298535605256E-2</v>
      </c>
    </row>
    <row r="38" spans="1:6" ht="18" customHeight="1">
      <c r="B38" s="27" t="s">
        <v>40</v>
      </c>
      <c r="C38" s="2" t="s">
        <v>41</v>
      </c>
      <c r="D38" s="28">
        <f>'[1]Структури 2024-2025'!$AI$31-'[1]Структури 2024-2025'!$AI$34</f>
        <v>6.2200690985873024</v>
      </c>
      <c r="E38" s="6">
        <f t="shared" si="2"/>
        <v>2.9828974923736991</v>
      </c>
      <c r="F38" s="28">
        <f t="shared" si="1"/>
        <v>6.6933035322777293E-2</v>
      </c>
    </row>
    <row r="39" spans="1:6" ht="24" customHeight="1">
      <c r="B39" s="27" t="s">
        <v>46</v>
      </c>
      <c r="C39" s="2" t="s">
        <v>42</v>
      </c>
      <c r="D39" s="28">
        <f>'[1]Структури 2024-2025'!$AI$37-'[1]Структури 2024-2025'!$AI$40-'[1]Структури 2024-2025'!$AI$41</f>
        <v>9.2816665307268877</v>
      </c>
      <c r="E39" s="6">
        <f t="shared" si="2"/>
        <v>4.4511177256603478</v>
      </c>
      <c r="F39" s="28">
        <f t="shared" si="1"/>
        <v>9.9878329952392389E-2</v>
      </c>
    </row>
    <row r="40" spans="1:6" ht="24.75" customHeight="1">
      <c r="B40" s="27" t="s">
        <v>47</v>
      </c>
      <c r="C40" s="2" t="s">
        <v>27</v>
      </c>
      <c r="D40" s="28">
        <f>'Структура КП'!C39</f>
        <v>5.3067139402373682</v>
      </c>
      <c r="E40" s="6">
        <f t="shared" si="2"/>
        <v>2.5448887229683281</v>
      </c>
      <c r="F40" s="28">
        <f t="shared" si="1"/>
        <v>5.7104586135619292E-2</v>
      </c>
    </row>
    <row r="41" spans="1:6" ht="24.75" customHeight="1">
      <c r="B41" s="26">
        <v>4</v>
      </c>
      <c r="C41" s="3" t="s">
        <v>12</v>
      </c>
      <c r="D41" s="6">
        <f>D8+D23+D33</f>
        <v>8338.5537746678237</v>
      </c>
      <c r="E41" s="6">
        <f>E33+E23+E8</f>
        <v>3713.7771559276416</v>
      </c>
      <c r="F41" s="6">
        <f t="shared" si="1"/>
        <v>83.333194718944327</v>
      </c>
    </row>
    <row r="42" spans="1:6" ht="21.75" customHeight="1">
      <c r="B42" s="26">
        <v>5</v>
      </c>
      <c r="C42" s="3" t="s">
        <v>31</v>
      </c>
      <c r="D42" s="6" t="s">
        <v>78</v>
      </c>
      <c r="E42" s="6">
        <f>E41</f>
        <v>3713.7771559276416</v>
      </c>
      <c r="F42" s="6"/>
    </row>
    <row r="43" spans="1:6" s="23" customFormat="1" ht="21.75" customHeight="1">
      <c r="B43" s="26">
        <v>6</v>
      </c>
      <c r="C43" s="5" t="s">
        <v>75</v>
      </c>
      <c r="D43" s="6" t="s">
        <v>78</v>
      </c>
      <c r="E43" s="6">
        <f>E42*20%</f>
        <v>742.75543118552832</v>
      </c>
      <c r="F43" s="6">
        <f t="shared" si="1"/>
        <v>16.666638943788868</v>
      </c>
    </row>
    <row r="44" spans="1:6" s="23" customFormat="1" ht="21.75" customHeight="1">
      <c r="B44" s="26">
        <v>7</v>
      </c>
      <c r="C44" s="5" t="s">
        <v>73</v>
      </c>
      <c r="D44" s="6" t="s">
        <v>78</v>
      </c>
      <c r="E44" s="6">
        <v>4456.54</v>
      </c>
      <c r="F44" s="6">
        <f t="shared" si="1"/>
        <v>100</v>
      </c>
    </row>
    <row r="45" spans="1:6" s="19" customFormat="1" ht="21.75" customHeight="1">
      <c r="A45" s="20"/>
      <c r="B45" s="26">
        <v>8</v>
      </c>
      <c r="C45" s="3" t="str">
        <f>'Структура КП'!B44</f>
        <v>Відпуск з колекторів,Гкал</v>
      </c>
      <c r="D45" s="7">
        <f>'Структура КП'!C44</f>
        <v>2300.7809999999999</v>
      </c>
      <c r="E45" s="6" t="s">
        <v>78</v>
      </c>
      <c r="F45" s="7" t="s">
        <v>78</v>
      </c>
    </row>
    <row r="46" spans="1:6" ht="24" customHeight="1">
      <c r="B46" s="26">
        <v>9</v>
      </c>
      <c r="C46" s="3" t="s">
        <v>32</v>
      </c>
      <c r="D46" s="7">
        <f>'Структура КП'!C45</f>
        <v>2085.2440000000001</v>
      </c>
      <c r="E46" s="7" t="s">
        <v>78</v>
      </c>
      <c r="F46" s="7" t="s">
        <v>78</v>
      </c>
    </row>
    <row r="47" spans="1:6" ht="27.75" customHeight="1">
      <c r="B47" s="26">
        <v>10</v>
      </c>
      <c r="C47" s="5" t="s">
        <v>39</v>
      </c>
      <c r="D47" s="42" t="s">
        <v>78</v>
      </c>
      <c r="E47" s="30">
        <f>(D22+D32+D40)/D41*100</f>
        <v>4.0224100206392981</v>
      </c>
      <c r="F47" s="42" t="s">
        <v>78</v>
      </c>
    </row>
    <row r="48" spans="1:6" s="23" customFormat="1" ht="17.25" customHeight="1">
      <c r="B48" s="31"/>
      <c r="C48" s="4"/>
      <c r="D48" s="34"/>
      <c r="E48" s="35"/>
      <c r="F48" s="34"/>
    </row>
    <row r="49" spans="2:6" ht="23.25" customHeight="1">
      <c r="B49" s="17"/>
      <c r="C49" s="4" t="str">
        <f>'Структура нас.общ.'!B49</f>
        <v>Директор КПТМ м. Берестин</v>
      </c>
      <c r="D49" s="9"/>
      <c r="E49" s="48" t="s">
        <v>51</v>
      </c>
      <c r="F49" s="48"/>
    </row>
    <row r="50" spans="2:6">
      <c r="B50" s="17"/>
      <c r="C50" s="9"/>
      <c r="D50" s="9"/>
      <c r="E50" s="9"/>
      <c r="F50" s="9"/>
    </row>
    <row r="51" spans="2:6">
      <c r="B51" s="17"/>
      <c r="C51" s="9" t="s">
        <v>38</v>
      </c>
      <c r="D51" s="9"/>
      <c r="E51" s="9" t="str">
        <f>'Структура нас.общ.'!D51</f>
        <v>Ірина МИРОНОВА</v>
      </c>
      <c r="F51" s="9"/>
    </row>
  </sheetData>
  <mergeCells count="8">
    <mergeCell ref="E49:F49"/>
    <mergeCell ref="B1:F1"/>
    <mergeCell ref="B2:F2"/>
    <mergeCell ref="B5:B6"/>
    <mergeCell ref="C5:C6"/>
    <mergeCell ref="D5:E5"/>
    <mergeCell ref="F5:F6"/>
    <mergeCell ref="B3:E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L50"/>
  <sheetViews>
    <sheetView tabSelected="1" view="pageBreakPreview" topLeftCell="A11" zoomScale="60" zoomScaleNormal="100" workbookViewId="0">
      <selection activeCell="E43" sqref="E43"/>
    </sheetView>
  </sheetViews>
  <sheetFormatPr defaultRowHeight="15"/>
  <cols>
    <col min="1" max="1" width="9.140625" style="20"/>
    <col min="2" max="2" width="7.85546875" customWidth="1"/>
    <col min="3" max="3" width="43.42578125" customWidth="1"/>
    <col min="4" max="4" width="13.140625" customWidth="1"/>
    <col min="5" max="5" width="10.5703125" customWidth="1"/>
    <col min="6" max="6" width="12" customWidth="1"/>
    <col min="8" max="8" width="10.42578125" bestFit="1" customWidth="1"/>
    <col min="9" max="9" width="9.28515625" bestFit="1" customWidth="1"/>
    <col min="10" max="10" width="11.140625" bestFit="1" customWidth="1"/>
    <col min="11" max="11" width="10.42578125" bestFit="1" customWidth="1"/>
  </cols>
  <sheetData>
    <row r="1" spans="1:12">
      <c r="A1" s="17"/>
      <c r="B1" s="17"/>
      <c r="C1" s="17"/>
      <c r="D1" s="17"/>
      <c r="E1" s="17"/>
      <c r="F1" s="17" t="s">
        <v>63</v>
      </c>
    </row>
    <row r="2" spans="1:12" ht="86.25" customHeight="1">
      <c r="A2" s="17"/>
      <c r="B2" s="45" t="s">
        <v>86</v>
      </c>
      <c r="C2" s="46"/>
      <c r="D2" s="46"/>
      <c r="E2" s="46"/>
      <c r="F2" s="46"/>
    </row>
    <row r="3" spans="1:12">
      <c r="A3" s="17"/>
      <c r="B3" s="50"/>
      <c r="C3" s="50"/>
      <c r="D3" s="50"/>
      <c r="E3" s="50"/>
      <c r="F3" s="17"/>
    </row>
    <row r="4" spans="1:12" ht="28.5" customHeight="1">
      <c r="A4" s="17"/>
      <c r="B4" s="49" t="s">
        <v>0</v>
      </c>
      <c r="C4" s="49" t="s">
        <v>18</v>
      </c>
      <c r="D4" s="49" t="s">
        <v>69</v>
      </c>
      <c r="E4" s="49"/>
      <c r="F4" s="49" t="s">
        <v>19</v>
      </c>
    </row>
    <row r="5" spans="1:12">
      <c r="A5" s="17"/>
      <c r="B5" s="49"/>
      <c r="C5" s="49"/>
      <c r="D5" s="24" t="s">
        <v>20</v>
      </c>
      <c r="E5" s="24" t="s">
        <v>10</v>
      </c>
      <c r="F5" s="49"/>
    </row>
    <row r="6" spans="1:12">
      <c r="A6" s="17"/>
      <c r="B6" s="25">
        <v>1</v>
      </c>
      <c r="C6" s="25">
        <v>2</v>
      </c>
      <c r="D6" s="25">
        <v>3</v>
      </c>
      <c r="E6" s="25">
        <v>4</v>
      </c>
      <c r="F6" s="25">
        <v>5</v>
      </c>
    </row>
    <row r="7" spans="1:12" ht="30.75" customHeight="1">
      <c r="A7" s="17"/>
      <c r="B7" s="26">
        <v>1</v>
      </c>
      <c r="C7" s="1" t="s">
        <v>21</v>
      </c>
      <c r="D7" s="6">
        <f>SUM(D8:D21)</f>
        <v>33596.619879859063</v>
      </c>
      <c r="E7" s="6">
        <f t="shared" ref="E7:E21" si="0">D7/D$44*1000</f>
        <v>2634.6301994960027</v>
      </c>
      <c r="F7" s="6">
        <f>E7/E$43*100</f>
        <v>60.539148778450794</v>
      </c>
      <c r="G7" s="10"/>
      <c r="H7" s="18">
        <f>E7-E21</f>
        <v>2535.7364768970187</v>
      </c>
      <c r="I7" s="10"/>
      <c r="J7" s="10"/>
      <c r="K7" s="10"/>
      <c r="L7" s="10"/>
    </row>
    <row r="8" spans="1:12" ht="14.25" customHeight="1">
      <c r="A8" s="17"/>
      <c r="B8" s="27" t="s">
        <v>1</v>
      </c>
      <c r="C8" s="39" t="s">
        <v>72</v>
      </c>
      <c r="D8" s="28">
        <f>'Структура БО'!G9</f>
        <v>20360.864048836502</v>
      </c>
      <c r="E8" s="6">
        <f t="shared" si="0"/>
        <v>1596.6888187777458</v>
      </c>
      <c r="F8" s="28">
        <f t="shared" ref="F8:F43" si="1">E8/E$43*100</f>
        <v>36.689089030925857</v>
      </c>
      <c r="G8" s="10"/>
      <c r="H8" s="10">
        <f>D8/D45*1000</f>
        <v>1762.0901906833435</v>
      </c>
      <c r="I8" s="10"/>
      <c r="J8" s="10"/>
      <c r="K8" s="10"/>
      <c r="L8" s="10"/>
    </row>
    <row r="9" spans="1:12" s="20" customFormat="1" ht="14.25" customHeight="1">
      <c r="A9" s="17"/>
      <c r="B9" s="27" t="s">
        <v>2</v>
      </c>
      <c r="C9" s="39" t="s">
        <v>67</v>
      </c>
      <c r="D9" s="28">
        <f>'Структура БО'!G10</f>
        <v>2202.9155645400006</v>
      </c>
      <c r="E9" s="6">
        <f t="shared" si="0"/>
        <v>172.75154149528743</v>
      </c>
      <c r="F9" s="28">
        <f t="shared" si="1"/>
        <v>3.9695253148963947</v>
      </c>
      <c r="G9" s="10"/>
      <c r="H9" s="10"/>
      <c r="I9" s="10"/>
      <c r="J9" s="10"/>
      <c r="K9" s="10"/>
      <c r="L9" s="10"/>
    </row>
    <row r="10" spans="1:12" s="20" customFormat="1" ht="14.25" customHeight="1">
      <c r="A10" s="17"/>
      <c r="B10" s="27" t="s">
        <v>3</v>
      </c>
      <c r="C10" s="39" t="s">
        <v>68</v>
      </c>
      <c r="D10" s="28">
        <f>'Структура БО'!G11</f>
        <v>1584.1762593030001</v>
      </c>
      <c r="E10" s="6">
        <f t="shared" si="0"/>
        <v>124.23031331751351</v>
      </c>
      <c r="F10" s="28">
        <f t="shared" si="1"/>
        <v>2.854593188129861</v>
      </c>
      <c r="G10" s="10"/>
      <c r="H10" s="10"/>
      <c r="I10" s="10"/>
      <c r="J10" s="10"/>
      <c r="K10" s="10"/>
      <c r="L10" s="10"/>
    </row>
    <row r="11" spans="1:12" ht="12" customHeight="1">
      <c r="A11" s="17"/>
      <c r="B11" s="27" t="s">
        <v>4</v>
      </c>
      <c r="C11" s="2" t="s">
        <v>22</v>
      </c>
      <c r="D11" s="28">
        <f>'Структура БО'!G12</f>
        <v>1166.5870255365301</v>
      </c>
      <c r="E11" s="6">
        <f t="shared" si="0"/>
        <v>91.48317356953261</v>
      </c>
      <c r="F11" s="28">
        <f t="shared" si="1"/>
        <v>2.1021217537513368</v>
      </c>
      <c r="G11" s="18"/>
      <c r="H11" s="10"/>
      <c r="I11" s="10"/>
      <c r="J11" s="10"/>
      <c r="K11" s="10"/>
      <c r="L11" s="10"/>
    </row>
    <row r="12" spans="1:12" ht="14.25" customHeight="1">
      <c r="A12" s="17"/>
      <c r="B12" s="27" t="s">
        <v>5</v>
      </c>
      <c r="C12" s="2" t="s">
        <v>23</v>
      </c>
      <c r="D12" s="28">
        <f>'Структура БО'!G13</f>
        <v>3959.9416311690034</v>
      </c>
      <c r="E12" s="6">
        <f t="shared" si="0"/>
        <v>310.53665062221978</v>
      </c>
      <c r="F12" s="28">
        <f t="shared" si="1"/>
        <v>7.1355837706470808</v>
      </c>
      <c r="G12" s="10"/>
      <c r="H12" s="10"/>
      <c r="I12" s="10"/>
      <c r="J12" s="10"/>
      <c r="K12" s="10"/>
      <c r="L12" s="10"/>
    </row>
    <row r="13" spans="1:12" ht="13.5" customHeight="1">
      <c r="A13" s="17"/>
      <c r="B13" s="27" t="s">
        <v>6</v>
      </c>
      <c r="C13" s="2" t="s">
        <v>24</v>
      </c>
      <c r="D13" s="28">
        <f>'Структура БО'!G14</f>
        <v>871.18715885718063</v>
      </c>
      <c r="E13" s="6">
        <f t="shared" si="0"/>
        <v>68.318063136888341</v>
      </c>
      <c r="F13" s="28">
        <f t="shared" si="1"/>
        <v>1.5698284295423575</v>
      </c>
      <c r="G13" s="18"/>
      <c r="H13" s="10"/>
      <c r="I13" s="10"/>
      <c r="J13" s="10"/>
      <c r="K13" s="10"/>
      <c r="L13" s="10"/>
    </row>
    <row r="14" spans="1:12" ht="15" customHeight="1">
      <c r="A14" s="17"/>
      <c r="B14" s="27" t="s">
        <v>7</v>
      </c>
      <c r="C14" s="2" t="s">
        <v>25</v>
      </c>
      <c r="D14" s="28">
        <f>'Структура БО'!G15</f>
        <v>290.2629851124783</v>
      </c>
      <c r="E14" s="6">
        <f t="shared" si="0"/>
        <v>22.762278738393192</v>
      </c>
      <c r="F14" s="28">
        <f t="shared" si="1"/>
        <v>0.52303696334451866</v>
      </c>
      <c r="G14" s="10"/>
      <c r="H14" s="10"/>
      <c r="I14" s="10"/>
      <c r="J14" s="18">
        <f>SUM(E8:E21)</f>
        <v>2634.6301994960027</v>
      </c>
      <c r="K14" s="10"/>
      <c r="L14" s="10"/>
    </row>
    <row r="15" spans="1:12" ht="15.75" customHeight="1">
      <c r="A15" s="17"/>
      <c r="B15" s="27" t="s">
        <v>8</v>
      </c>
      <c r="C15" s="2" t="s">
        <v>74</v>
      </c>
      <c r="D15" s="28">
        <f>'Структура БО'!G16</f>
        <v>189.79583701197697</v>
      </c>
      <c r="E15" s="6">
        <f t="shared" si="0"/>
        <v>14.883695018085652</v>
      </c>
      <c r="F15" s="28">
        <f t="shared" si="1"/>
        <v>0.34200102437349333</v>
      </c>
      <c r="G15" s="10"/>
      <c r="H15" s="10"/>
      <c r="I15" s="10"/>
      <c r="J15" s="10"/>
      <c r="K15" s="10"/>
      <c r="L15" s="10"/>
    </row>
    <row r="16" spans="1:12" ht="15" customHeight="1">
      <c r="A16" s="17"/>
      <c r="B16" s="27" t="s">
        <v>9</v>
      </c>
      <c r="C16" s="2" t="s">
        <v>41</v>
      </c>
      <c r="D16" s="28">
        <f>'Структура БО'!G17</f>
        <v>1497.1488932735679</v>
      </c>
      <c r="E16" s="6">
        <f t="shared" si="0"/>
        <v>117.40567061406139</v>
      </c>
      <c r="F16" s="28">
        <f t="shared" si="1"/>
        <v>2.6977749522867085</v>
      </c>
      <c r="G16" s="10"/>
      <c r="H16" s="10"/>
      <c r="I16" s="10"/>
      <c r="J16" s="10"/>
      <c r="K16" s="10"/>
      <c r="L16" s="10"/>
    </row>
    <row r="17" spans="1:12" ht="13.5" customHeight="1">
      <c r="A17" s="17"/>
      <c r="B17" s="27" t="s">
        <v>43</v>
      </c>
      <c r="C17" s="2" t="s">
        <v>42</v>
      </c>
      <c r="D17" s="28">
        <f>'Структура БО'!G18</f>
        <v>1989.226482728883</v>
      </c>
      <c r="E17" s="6">
        <f t="shared" si="0"/>
        <v>155.99415011914925</v>
      </c>
      <c r="F17" s="28">
        <f t="shared" si="1"/>
        <v>3.5844700574819672</v>
      </c>
      <c r="G17" s="10"/>
      <c r="H17" s="10"/>
      <c r="I17" s="10"/>
      <c r="J17" s="10"/>
      <c r="K17" s="10"/>
      <c r="L17" s="10"/>
    </row>
    <row r="18" spans="1:12" s="20" customFormat="1" ht="13.5" customHeight="1">
      <c r="A18" s="17"/>
      <c r="B18" s="27" t="s">
        <v>54</v>
      </c>
      <c r="C18" s="2" t="s">
        <v>29</v>
      </c>
      <c r="D18" s="28">
        <f>'Структура БО'!G19</f>
        <v>1523.0291392227828</v>
      </c>
      <c r="E18" s="6">
        <f t="shared" si="0"/>
        <v>119.43518661275451</v>
      </c>
      <c r="F18" s="28">
        <f t="shared" si="1"/>
        <v>2.7444096454655207</v>
      </c>
      <c r="G18" s="10"/>
      <c r="H18" s="10"/>
      <c r="I18" s="10"/>
      <c r="J18" s="10"/>
      <c r="K18" s="10"/>
      <c r="L18" s="10"/>
    </row>
    <row r="19" spans="1:12" ht="12" customHeight="1">
      <c r="A19" s="17"/>
      <c r="B19" s="27" t="s">
        <v>64</v>
      </c>
      <c r="C19" s="2" t="s">
        <v>79</v>
      </c>
      <c r="D19" s="28">
        <f>'Структура БО'!G20</f>
        <v>50.044636946398931</v>
      </c>
      <c r="E19" s="6">
        <f t="shared" si="0"/>
        <v>3.9244755065624517</v>
      </c>
      <c r="F19" s="28">
        <f t="shared" si="1"/>
        <v>9.0177515848189824E-2</v>
      </c>
      <c r="G19" s="10"/>
      <c r="H19" s="10"/>
      <c r="I19" s="10"/>
      <c r="J19" s="10"/>
      <c r="K19" s="10"/>
      <c r="L19" s="10"/>
    </row>
    <row r="20" spans="1:12" s="19" customFormat="1" ht="12" customHeight="1">
      <c r="A20" s="17"/>
      <c r="B20" s="27" t="s">
        <v>65</v>
      </c>
      <c r="C20" s="2" t="str">
        <f>'Структура КП'!B30</f>
        <v>враховані витрати на покриття втрат</v>
      </c>
      <c r="D20" s="28">
        <f>'Структура БО'!G21</f>
        <v>-3349.6456107008976</v>
      </c>
      <c r="E20" s="6">
        <f t="shared" si="0"/>
        <v>-262.67754063117485</v>
      </c>
      <c r="F20" s="28">
        <f t="shared" si="1"/>
        <v>-6.035865950398013</v>
      </c>
      <c r="G20" s="10"/>
      <c r="H20" s="10"/>
      <c r="I20" s="10"/>
      <c r="J20" s="10"/>
      <c r="K20" s="10"/>
      <c r="L20" s="10"/>
    </row>
    <row r="21" spans="1:12" ht="13.5" customHeight="1">
      <c r="A21" s="17"/>
      <c r="B21" s="27" t="s">
        <v>66</v>
      </c>
      <c r="C21" s="2" t="s">
        <v>27</v>
      </c>
      <c r="D21" s="28">
        <f>'Структура БО'!G22</f>
        <v>1261.0858280216587</v>
      </c>
      <c r="E21" s="6">
        <f t="shared" si="0"/>
        <v>98.893722598983743</v>
      </c>
      <c r="F21" s="28">
        <f t="shared" si="1"/>
        <v>2.2724030821555155</v>
      </c>
      <c r="G21" s="10"/>
      <c r="H21" s="10"/>
      <c r="I21" s="10"/>
      <c r="J21" s="10"/>
      <c r="K21" s="10"/>
      <c r="L21" s="10"/>
    </row>
    <row r="22" spans="1:12" ht="25.5" customHeight="1">
      <c r="A22" s="17"/>
      <c r="B22" s="26">
        <v>2</v>
      </c>
      <c r="C22" s="1" t="s">
        <v>28</v>
      </c>
      <c r="D22" s="6">
        <f>SUM(D23:D31)</f>
        <v>10757.331172562952</v>
      </c>
      <c r="E22" s="6">
        <f t="shared" ref="E22:E39" si="2">D22/D$45*1000</f>
        <v>930.97167642983754</v>
      </c>
      <c r="F22" s="6">
        <f t="shared" si="1"/>
        <v>21.392084869706281</v>
      </c>
      <c r="G22" s="10"/>
      <c r="H22" s="18">
        <f>E22-E31</f>
        <v>896.0266375648099</v>
      </c>
      <c r="I22" s="10"/>
      <c r="J22" s="10"/>
      <c r="K22" s="10"/>
      <c r="L22" s="10"/>
    </row>
    <row r="23" spans="1:12" ht="21.75" customHeight="1">
      <c r="A23" s="17"/>
      <c r="B23" s="27" t="s">
        <v>16</v>
      </c>
      <c r="C23" s="2" t="s">
        <v>22</v>
      </c>
      <c r="D23" s="28">
        <f>'Структура БО'!G24</f>
        <v>1429.7880515019333</v>
      </c>
      <c r="E23" s="6">
        <f t="shared" si="2"/>
        <v>123.7381426576431</v>
      </c>
      <c r="F23" s="28">
        <f t="shared" si="1"/>
        <v>2.8432839756233079</v>
      </c>
      <c r="G23" s="18"/>
      <c r="H23" s="10"/>
      <c r="I23" s="10"/>
      <c r="J23" s="10"/>
      <c r="K23" s="10"/>
      <c r="L23" s="10"/>
    </row>
    <row r="24" spans="1:12" ht="16.5" customHeight="1">
      <c r="A24" s="17"/>
      <c r="B24" s="27" t="s">
        <v>17</v>
      </c>
      <c r="C24" s="2" t="s">
        <v>23</v>
      </c>
      <c r="D24" s="28">
        <f>'Структура БО'!G25</f>
        <v>2119.2453449250038</v>
      </c>
      <c r="E24" s="6">
        <f t="shared" si="2"/>
        <v>183.40584294393344</v>
      </c>
      <c r="F24" s="28">
        <f t="shared" si="1"/>
        <v>4.2143423448740478</v>
      </c>
      <c r="G24" s="10"/>
      <c r="H24" s="10"/>
      <c r="I24" s="10"/>
      <c r="J24" s="10"/>
      <c r="K24" s="10"/>
      <c r="L24" s="10"/>
    </row>
    <row r="25" spans="1:12" ht="20.25" customHeight="1">
      <c r="A25" s="17"/>
      <c r="B25" s="27" t="s">
        <v>33</v>
      </c>
      <c r="C25" s="2" t="s">
        <v>24</v>
      </c>
      <c r="D25" s="28">
        <f>'Структура БО'!G26</f>
        <v>466.23397588350076</v>
      </c>
      <c r="E25" s="6">
        <f t="shared" si="2"/>
        <v>40.349285447665345</v>
      </c>
      <c r="F25" s="28">
        <f t="shared" si="1"/>
        <v>0.92715531587229028</v>
      </c>
      <c r="G25" s="10"/>
      <c r="H25" s="10"/>
      <c r="I25" s="10"/>
      <c r="J25" s="10"/>
      <c r="K25" s="10"/>
      <c r="L25" s="10"/>
    </row>
    <row r="26" spans="1:12" ht="12.75" customHeight="1">
      <c r="A26" s="17"/>
      <c r="B26" s="27" t="s">
        <v>34</v>
      </c>
      <c r="C26" s="2" t="s">
        <v>25</v>
      </c>
      <c r="D26" s="28">
        <f>'Структура БО'!G27</f>
        <v>80.727136951705432</v>
      </c>
      <c r="E26" s="6">
        <f t="shared" si="2"/>
        <v>6.9863683487774004</v>
      </c>
      <c r="F26" s="28">
        <f t="shared" si="1"/>
        <v>0.16053440553767415</v>
      </c>
      <c r="G26" s="10"/>
      <c r="H26" s="10"/>
      <c r="I26" s="10"/>
      <c r="J26" s="10"/>
      <c r="K26" s="10"/>
      <c r="L26" s="10"/>
    </row>
    <row r="27" spans="1:12" ht="15" customHeight="1">
      <c r="A27" s="17"/>
      <c r="B27" s="27" t="s">
        <v>35</v>
      </c>
      <c r="C27" s="2" t="s">
        <v>29</v>
      </c>
      <c r="D27" s="28">
        <f>'Структура БО'!G28</f>
        <v>2123.3191953410083</v>
      </c>
      <c r="E27" s="6">
        <f t="shared" si="2"/>
        <v>183.7584061671412</v>
      </c>
      <c r="F27" s="28">
        <f t="shared" si="1"/>
        <v>4.2224436250566209</v>
      </c>
      <c r="G27" s="10"/>
      <c r="H27" s="10"/>
      <c r="I27" s="10"/>
      <c r="J27" s="10"/>
      <c r="K27" s="10"/>
      <c r="L27" s="10"/>
    </row>
    <row r="28" spans="1:12" ht="18.75" customHeight="1">
      <c r="A28" s="17"/>
      <c r="B28" s="27" t="s">
        <v>36</v>
      </c>
      <c r="C28" s="2" t="s">
        <v>41</v>
      </c>
      <c r="D28" s="28">
        <f>'Структура БО'!G29</f>
        <v>340.60263764911383</v>
      </c>
      <c r="E28" s="6">
        <f t="shared" si="2"/>
        <v>29.476772954371398</v>
      </c>
      <c r="F28" s="28">
        <f t="shared" si="1"/>
        <v>0.67732418148652285</v>
      </c>
      <c r="G28" s="10"/>
      <c r="H28" s="10"/>
      <c r="I28" s="10"/>
      <c r="J28" s="10"/>
      <c r="K28" s="10"/>
      <c r="L28" s="10"/>
    </row>
    <row r="29" spans="1:12" ht="17.25" customHeight="1">
      <c r="A29" s="17"/>
      <c r="B29" s="27" t="s">
        <v>44</v>
      </c>
      <c r="C29" s="2" t="s">
        <v>42</v>
      </c>
      <c r="D29" s="28">
        <f>'Структура БО'!G30</f>
        <v>443.98104277633911</v>
      </c>
      <c r="E29" s="6">
        <f t="shared" si="2"/>
        <v>38.423449930665136</v>
      </c>
      <c r="F29" s="28">
        <f t="shared" si="1"/>
        <v>0.88290301704537966</v>
      </c>
      <c r="G29" s="10"/>
      <c r="H29" s="10"/>
      <c r="I29" s="10"/>
      <c r="J29" s="10"/>
      <c r="K29" s="10"/>
      <c r="L29" s="10"/>
    </row>
    <row r="30" spans="1:12" s="19" customFormat="1" ht="17.25" customHeight="1">
      <c r="A30" s="17"/>
      <c r="B30" s="27" t="s">
        <v>45</v>
      </c>
      <c r="C30" s="2" t="str">
        <f>'Структура КП'!B30</f>
        <v>враховані витрати на покриття втрат</v>
      </c>
      <c r="D30" s="28">
        <f>'Структура БО'!G31</f>
        <v>3349.6456107008976</v>
      </c>
      <c r="E30" s="6">
        <f t="shared" si="2"/>
        <v>289.88836911461294</v>
      </c>
      <c r="F30" s="28">
        <f t="shared" si="1"/>
        <v>6.6611227299866211</v>
      </c>
      <c r="G30" s="10"/>
      <c r="H30" s="10"/>
      <c r="I30" s="10"/>
      <c r="J30" s="10"/>
      <c r="K30" s="10"/>
      <c r="L30" s="10"/>
    </row>
    <row r="31" spans="1:12" ht="14.25" customHeight="1">
      <c r="A31" s="17"/>
      <c r="B31" s="27" t="s">
        <v>53</v>
      </c>
      <c r="C31" s="2" t="s">
        <v>27</v>
      </c>
      <c r="D31" s="28">
        <f>'Структура БО'!G32</f>
        <v>403.78817683345068</v>
      </c>
      <c r="E31" s="6">
        <f t="shared" si="2"/>
        <v>34.945038865027598</v>
      </c>
      <c r="F31" s="28">
        <f t="shared" si="1"/>
        <v>0.80297527422381643</v>
      </c>
      <c r="G31" s="10"/>
      <c r="H31" s="10"/>
      <c r="I31" s="10"/>
      <c r="J31" s="10"/>
      <c r="K31" s="10"/>
      <c r="L31" s="10"/>
    </row>
    <row r="32" spans="1:12" ht="18" customHeight="1">
      <c r="A32" s="17"/>
      <c r="B32" s="26">
        <v>3</v>
      </c>
      <c r="C32" s="1" t="s">
        <v>30</v>
      </c>
      <c r="D32" s="6">
        <f>SUM(D33:D39)</f>
        <v>705.06688535750618</v>
      </c>
      <c r="E32" s="6">
        <f t="shared" si="2"/>
        <v>61.018601149940601</v>
      </c>
      <c r="F32" s="6">
        <f t="shared" si="1"/>
        <v>1.4020996851762562</v>
      </c>
      <c r="G32" s="10"/>
      <c r="H32" s="18">
        <f>E32-E39</f>
        <v>58.728201299269102</v>
      </c>
      <c r="I32" s="10"/>
      <c r="J32" s="10"/>
      <c r="K32" s="10"/>
      <c r="L32" s="10"/>
    </row>
    <row r="33" spans="1:12" ht="16.5" customHeight="1">
      <c r="A33" s="17"/>
      <c r="B33" s="27" t="s">
        <v>13</v>
      </c>
      <c r="C33" s="2" t="s">
        <v>23</v>
      </c>
      <c r="D33" s="28">
        <f>'Структура БО'!G34</f>
        <v>480.20091427732211</v>
      </c>
      <c r="E33" s="6">
        <f t="shared" si="2"/>
        <v>41.558026151330992</v>
      </c>
      <c r="F33" s="28">
        <f t="shared" si="1"/>
        <v>0.95493004240043167</v>
      </c>
      <c r="G33" s="18"/>
      <c r="H33" s="10"/>
      <c r="I33" s="10"/>
      <c r="J33" s="10"/>
      <c r="K33" s="10"/>
      <c r="L33" s="10"/>
    </row>
    <row r="34" spans="1:12" ht="14.25" customHeight="1">
      <c r="A34" s="17"/>
      <c r="B34" s="27" t="s">
        <v>14</v>
      </c>
      <c r="C34" s="2" t="s">
        <v>24</v>
      </c>
      <c r="D34" s="28">
        <f>'Структура БО'!G35</f>
        <v>105.64420114101085</v>
      </c>
      <c r="E34" s="6">
        <f t="shared" si="2"/>
        <v>9.1427657532928173</v>
      </c>
      <c r="F34" s="28">
        <f t="shared" si="1"/>
        <v>0.21008460932809495</v>
      </c>
      <c r="G34" s="10"/>
      <c r="H34" s="10"/>
      <c r="I34" s="10"/>
      <c r="J34" s="10"/>
      <c r="K34" s="10"/>
      <c r="L34" s="10"/>
    </row>
    <row r="35" spans="1:12" ht="15" customHeight="1">
      <c r="A35" s="17"/>
      <c r="B35" s="27" t="s">
        <v>15</v>
      </c>
      <c r="C35" s="2" t="s">
        <v>25</v>
      </c>
      <c r="D35" s="28">
        <f>'Структура БО'!G36</f>
        <v>0</v>
      </c>
      <c r="E35" s="6">
        <f t="shared" si="2"/>
        <v>0</v>
      </c>
      <c r="F35" s="28">
        <f t="shared" si="1"/>
        <v>0</v>
      </c>
      <c r="G35" s="10"/>
      <c r="H35" s="10"/>
      <c r="I35" s="10"/>
      <c r="J35" s="10"/>
      <c r="K35" s="10"/>
      <c r="L35" s="10"/>
    </row>
    <row r="36" spans="1:12" ht="15.75" customHeight="1">
      <c r="A36" s="17"/>
      <c r="B36" s="27" t="s">
        <v>37</v>
      </c>
      <c r="C36" s="2" t="s">
        <v>26</v>
      </c>
      <c r="D36" s="28">
        <f>'Структура БО'!G37</f>
        <v>11.943859631705962</v>
      </c>
      <c r="E36" s="6">
        <f t="shared" si="2"/>
        <v>1.0336574049827962</v>
      </c>
      <c r="F36" s="28">
        <f t="shared" si="1"/>
        <v>2.3751621551355333E-2</v>
      </c>
      <c r="G36" s="10"/>
      <c r="H36" s="10"/>
      <c r="I36" s="10"/>
      <c r="J36" s="10"/>
      <c r="K36" s="10"/>
      <c r="L36" s="10"/>
    </row>
    <row r="37" spans="1:12" ht="17.25" customHeight="1">
      <c r="A37" s="17"/>
      <c r="B37" s="27" t="s">
        <v>40</v>
      </c>
      <c r="C37" s="2" t="s">
        <v>41</v>
      </c>
      <c r="D37" s="28">
        <f>'Структура БО'!G38</f>
        <v>33.685975152110167</v>
      </c>
      <c r="E37" s="6">
        <f t="shared" si="2"/>
        <v>2.9152852372455236</v>
      </c>
      <c r="F37" s="28">
        <f t="shared" si="1"/>
        <v>6.6988105861304478E-2</v>
      </c>
      <c r="G37" s="10"/>
      <c r="H37" s="10"/>
      <c r="I37" s="10"/>
      <c r="J37" s="10"/>
      <c r="K37" s="10"/>
      <c r="L37" s="10"/>
    </row>
    <row r="38" spans="1:12" ht="13.5" customHeight="1">
      <c r="A38" s="17"/>
      <c r="B38" s="27" t="s">
        <v>46</v>
      </c>
      <c r="C38" s="2" t="s">
        <v>42</v>
      </c>
      <c r="D38" s="28">
        <f>'Структура БО'!G39</f>
        <v>47.126479400840473</v>
      </c>
      <c r="E38" s="6">
        <f t="shared" si="2"/>
        <v>4.0784667524169702</v>
      </c>
      <c r="F38" s="28">
        <f t="shared" si="1"/>
        <v>9.3715962703140865E-2</v>
      </c>
      <c r="G38" s="10"/>
      <c r="H38" s="10"/>
      <c r="I38" s="10"/>
      <c r="J38" s="10"/>
      <c r="K38" s="10"/>
      <c r="L38" s="10"/>
    </row>
    <row r="39" spans="1:12" ht="13.5" customHeight="1">
      <c r="A39" s="17"/>
      <c r="B39" s="27" t="s">
        <v>47</v>
      </c>
      <c r="C39" s="2" t="s">
        <v>27</v>
      </c>
      <c r="D39" s="28">
        <f>'Структура БО'!G40</f>
        <v>26.465455754516594</v>
      </c>
      <c r="E39" s="6">
        <f t="shared" si="2"/>
        <v>2.2903998506714949</v>
      </c>
      <c r="F39" s="28">
        <f t="shared" si="1"/>
        <v>5.2629343331928764E-2</v>
      </c>
      <c r="G39" s="10"/>
      <c r="H39" s="10"/>
      <c r="I39" s="10"/>
      <c r="J39" s="10"/>
      <c r="K39" s="10"/>
      <c r="L39" s="10"/>
    </row>
    <row r="40" spans="1:12" ht="17.25" customHeight="1">
      <c r="A40" s="17"/>
      <c r="B40" s="26">
        <v>4</v>
      </c>
      <c r="C40" s="3" t="s">
        <v>12</v>
      </c>
      <c r="D40" s="6">
        <f>D7+D22+D32</f>
        <v>45059.017937779521</v>
      </c>
      <c r="E40" s="6">
        <f>E32+E22+E7</f>
        <v>3626.6204770757809</v>
      </c>
      <c r="F40" s="6">
        <f t="shared" si="1"/>
        <v>83.333333333333329</v>
      </c>
      <c r="G40" s="10"/>
      <c r="H40" s="18">
        <f>H7+H22+H32</f>
        <v>3490.4913157610977</v>
      </c>
      <c r="I40" s="18">
        <v>1.6E-2</v>
      </c>
      <c r="J40" s="10">
        <f>H40*I40</f>
        <v>55.847861052177564</v>
      </c>
      <c r="K40" s="18">
        <f>H40+J40</f>
        <v>3546.3391768132751</v>
      </c>
      <c r="L40" s="10"/>
    </row>
    <row r="41" spans="1:12" ht="18.75" customHeight="1">
      <c r="A41" s="17"/>
      <c r="B41" s="26">
        <v>5</v>
      </c>
      <c r="C41" s="3" t="s">
        <v>31</v>
      </c>
      <c r="D41" s="6" t="s">
        <v>78</v>
      </c>
      <c r="E41" s="6">
        <f>E40</f>
        <v>3626.6204770757809</v>
      </c>
      <c r="F41" s="6"/>
      <c r="G41" s="10"/>
      <c r="H41" s="10"/>
      <c r="I41" s="10"/>
      <c r="J41" s="10"/>
      <c r="K41" s="10"/>
      <c r="L41" s="10"/>
    </row>
    <row r="42" spans="1:12" s="23" customFormat="1" ht="18.75" customHeight="1">
      <c r="A42" s="17"/>
      <c r="B42" s="26">
        <v>6</v>
      </c>
      <c r="C42" s="5" t="s">
        <v>75</v>
      </c>
      <c r="D42" s="6" t="s">
        <v>78</v>
      </c>
      <c r="E42" s="6">
        <f>E41*20%</f>
        <v>725.32409541515619</v>
      </c>
      <c r="F42" s="6">
        <f t="shared" si="1"/>
        <v>16.666666666666664</v>
      </c>
      <c r="G42" s="10"/>
      <c r="H42" s="10"/>
      <c r="I42" s="10"/>
      <c r="J42" s="10"/>
      <c r="K42" s="10"/>
      <c r="L42" s="10"/>
    </row>
    <row r="43" spans="1:12" s="23" customFormat="1" ht="18.75" customHeight="1">
      <c r="A43" s="17"/>
      <c r="B43" s="26">
        <v>7</v>
      </c>
      <c r="C43" s="5" t="s">
        <v>73</v>
      </c>
      <c r="D43" s="6" t="s">
        <v>78</v>
      </c>
      <c r="E43" s="6">
        <f>E41+E42</f>
        <v>4351.9445724909374</v>
      </c>
      <c r="F43" s="6">
        <f t="shared" si="1"/>
        <v>100</v>
      </c>
      <c r="G43" s="10"/>
      <c r="H43" s="10"/>
      <c r="I43" s="10"/>
      <c r="J43" s="10"/>
      <c r="K43" s="10"/>
      <c r="L43" s="10"/>
    </row>
    <row r="44" spans="1:12" s="19" customFormat="1" ht="18.75" customHeight="1">
      <c r="A44" s="17"/>
      <c r="B44" s="26">
        <v>8</v>
      </c>
      <c r="C44" s="3" t="str">
        <f>'Структура КП'!B44</f>
        <v>Відпуск з колекторів,Гкал</v>
      </c>
      <c r="D44" s="7">
        <f>'Структура БО'!D45</f>
        <v>12751.93</v>
      </c>
      <c r="E44" s="6" t="s">
        <v>78</v>
      </c>
      <c r="F44" s="7" t="s">
        <v>78</v>
      </c>
      <c r="G44" s="10"/>
      <c r="H44" s="10"/>
      <c r="I44" s="10"/>
      <c r="J44" s="10"/>
      <c r="K44" s="10"/>
      <c r="L44" s="10"/>
    </row>
    <row r="45" spans="1:12" ht="20.25" customHeight="1">
      <c r="A45" s="17"/>
      <c r="B45" s="26">
        <v>9</v>
      </c>
      <c r="C45" s="3" t="s">
        <v>32</v>
      </c>
      <c r="D45" s="7">
        <f>'Структура БО'!D46</f>
        <v>11554.95</v>
      </c>
      <c r="E45" s="7" t="s">
        <v>78</v>
      </c>
      <c r="F45" s="7" t="s">
        <v>78</v>
      </c>
      <c r="G45" s="10"/>
      <c r="H45" s="18">
        <f>E40-E39-E31-E21</f>
        <v>3490.4913157610981</v>
      </c>
      <c r="I45" s="10"/>
      <c r="J45" s="13">
        <f>D40-D39-D31-D21</f>
        <v>43367.678477169902</v>
      </c>
      <c r="K45" s="10"/>
      <c r="L45" s="10"/>
    </row>
    <row r="46" spans="1:12" ht="17.25" customHeight="1">
      <c r="A46" s="17"/>
      <c r="B46" s="26">
        <v>10</v>
      </c>
      <c r="C46" s="5" t="s">
        <v>39</v>
      </c>
      <c r="D46" s="42" t="s">
        <v>78</v>
      </c>
      <c r="E46" s="30">
        <f>(D21+D31+D39)/D40*100</f>
        <v>3.753609239653513</v>
      </c>
      <c r="F46" s="42" t="s">
        <v>78</v>
      </c>
      <c r="G46" s="10"/>
      <c r="H46" s="10">
        <f>H45*E46/100</f>
        <v>131.01940453771206</v>
      </c>
      <c r="I46" s="10"/>
      <c r="J46" s="10">
        <f>J45/D45*1000</f>
        <v>3753.1688563922735</v>
      </c>
      <c r="K46" s="10"/>
      <c r="L46" s="10"/>
    </row>
    <row r="47" spans="1:12" ht="14.25" customHeight="1">
      <c r="A47" s="17"/>
      <c r="B47" s="17"/>
      <c r="C47" s="4">
        <f>'Структура нас.общ.'!B48</f>
        <v>0</v>
      </c>
      <c r="D47" s="9"/>
      <c r="E47" s="9"/>
      <c r="F47" s="9"/>
      <c r="G47" s="10"/>
      <c r="H47" s="10"/>
      <c r="I47" s="10"/>
      <c r="J47" s="10"/>
      <c r="K47" s="10"/>
      <c r="L47" s="10"/>
    </row>
    <row r="48" spans="1:12" ht="16.5" customHeight="1">
      <c r="A48" s="17"/>
      <c r="B48" s="17"/>
      <c r="C48" s="4" t="str">
        <f>'Структура нас.общ.'!B49</f>
        <v>Директор КПТМ м. Берестин</v>
      </c>
      <c r="D48" s="9"/>
      <c r="E48" s="22" t="s">
        <v>51</v>
      </c>
      <c r="F48" s="22"/>
      <c r="J48" s="10" t="e">
        <f>#REF!/J46*100</f>
        <v>#REF!</v>
      </c>
    </row>
    <row r="49" spans="1:10" s="23" customFormat="1" ht="16.5" customHeight="1">
      <c r="A49" s="17"/>
      <c r="B49" s="17"/>
      <c r="C49" s="4"/>
      <c r="D49" s="9"/>
      <c r="E49" s="22"/>
      <c r="F49" s="22"/>
      <c r="J49" s="10"/>
    </row>
    <row r="50" spans="1:10" ht="21" customHeight="1">
      <c r="A50" s="17"/>
      <c r="B50" s="17"/>
      <c r="C50" s="9" t="s">
        <v>38</v>
      </c>
      <c r="D50" s="9"/>
      <c r="E50" s="9" t="str">
        <f>'Структура нас.общ.'!D51</f>
        <v>Ірина МИРОНОВА</v>
      </c>
      <c r="F50" s="9"/>
    </row>
  </sheetData>
  <mergeCells count="6">
    <mergeCell ref="F4:F5"/>
    <mergeCell ref="B2:F2"/>
    <mergeCell ref="B4:B5"/>
    <mergeCell ref="C4:C5"/>
    <mergeCell ref="D4:E4"/>
    <mergeCell ref="B3:E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Структура нас.общ.</vt:lpstr>
      <vt:lpstr>Структура БО</vt:lpstr>
      <vt:lpstr>Структура КП</vt:lpstr>
      <vt:lpstr>відділ освіти без ел</vt:lpstr>
      <vt:lpstr>відділ освіти з еленерг</vt:lpstr>
      <vt:lpstr>укрпочта без елен та води</vt:lpstr>
      <vt:lpstr>багат ліц з електр</vt:lpstr>
      <vt:lpstr>'багат ліц з електр'!Область_печати</vt:lpstr>
      <vt:lpstr>'відділ освіти без ел'!Область_печати</vt:lpstr>
      <vt:lpstr>'відділ освіти з еленерг'!Область_печати</vt:lpstr>
      <vt:lpstr>'Структура БО'!Область_печати</vt:lpstr>
      <vt:lpstr>'Структура КП'!Область_печати</vt:lpstr>
      <vt:lpstr>'Структура нас.общ.'!Область_печати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2025-01-09T07:57:15Z</dcterms:modified>
</cp:coreProperties>
</file>